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Familie-2/Haus/Energie/"/>
    </mc:Choice>
  </mc:AlternateContent>
  <xr:revisionPtr revIDLastSave="0" documentId="13_ncr:1_{331EC6CC-68D3-8447-8760-F569B434C6C9}" xr6:coauthVersionLast="46" xr6:coauthVersionMax="46" xr10:uidLastSave="{00000000-0000-0000-0000-000000000000}"/>
  <workbookProtection lockStructure="1"/>
  <bookViews>
    <workbookView xWindow="0" yWindow="500" windowWidth="38400" windowHeight="21980" xr2:uid="{00000000-000D-0000-FFFF-FFFF00000000}"/>
  </bookViews>
  <sheets>
    <sheet name="Bilanz" sheetId="4" r:id="rId1"/>
    <sheet name="Bilanz o. Rate" sheetId="19" r:id="rId2"/>
    <sheet name="Strombetreiber" sheetId="20" r:id="rId3"/>
    <sheet name="Durchschnittsabweichung" sheetId="9" r:id="rId4"/>
    <sheet name="Stromaufteilung" sheetId="2" r:id="rId5"/>
    <sheet name="Strombilanz" sheetId="10" r:id="rId6"/>
    <sheet name="Stromkostenbilanz" sheetId="11" r:id="rId7"/>
    <sheet name="Stromkostenjahresbilanz" sheetId="17" r:id="rId8"/>
    <sheet name="E-Mobilität" sheetId="24" r:id="rId9"/>
    <sheet name="Stromverlauf" sheetId="16" r:id="rId10"/>
    <sheet name="Eigenstromverbrauch" sheetId="6" r:id="rId11"/>
    <sheet name="Eigenstromverlauf" sheetId="13" r:id="rId12"/>
    <sheet name="Mieterstromverbrauch" sheetId="8" r:id="rId13"/>
    <sheet name="Mieterstromverlauf" sheetId="14" r:id="rId14"/>
    <sheet name="Heizstromverbrauch" sheetId="7" r:id="rId15"/>
    <sheet name="Heizstromverlauf" sheetId="15" r:id="rId16"/>
    <sheet name="Heizverbrauch (Jahr)" sheetId="22" r:id="rId17"/>
    <sheet name="Heizkosten (Jahr)" sheetId="5" r:id="rId18"/>
    <sheet name="Monatsdaten" sheetId="1" r:id="rId19"/>
    <sheet name="Jahresdaten" sheetId="18" r:id="rId20"/>
    <sheet name="Vergleich Holz Strom" sheetId="21" r:id="rId21"/>
    <sheet name="PV-Felder" sheetId="23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" i="1" l="1"/>
  <c r="M3" i="1"/>
  <c r="DE2" i="1"/>
  <c r="DE3" i="1" s="1"/>
  <c r="DE4" i="1" s="1"/>
  <c r="DE5" i="1" s="1"/>
  <c r="DE6" i="1" s="1"/>
  <c r="DE7" i="1" s="1"/>
  <c r="DE8" i="1" s="1"/>
  <c r="DE9" i="1" s="1"/>
  <c r="DE10" i="1" s="1"/>
  <c r="DE11" i="1" s="1"/>
  <c r="DE12" i="1" s="1"/>
  <c r="DE13" i="1" s="1"/>
  <c r="DE14" i="1" s="1"/>
  <c r="DE15" i="1" s="1"/>
  <c r="DE16" i="1" s="1"/>
  <c r="DE17" i="1" s="1"/>
  <c r="DE18" i="1" s="1"/>
  <c r="DE19" i="1" s="1"/>
  <c r="DE20" i="1" s="1"/>
  <c r="DE21" i="1" s="1"/>
  <c r="DE22" i="1" s="1"/>
  <c r="DE23" i="1" s="1"/>
  <c r="DE24" i="1" s="1"/>
  <c r="DE25" i="1" s="1"/>
  <c r="DE26" i="1" s="1"/>
  <c r="DE27" i="1" s="1"/>
  <c r="DE28" i="1" s="1"/>
  <c r="DE29" i="1" s="1"/>
  <c r="DE30" i="1" s="1"/>
  <c r="DE31" i="1" s="1"/>
  <c r="DE32" i="1" s="1"/>
  <c r="DE33" i="1" s="1"/>
  <c r="DE34" i="1" s="1"/>
  <c r="DE35" i="1" s="1"/>
  <c r="DE36" i="1" s="1"/>
  <c r="DE37" i="1" s="1"/>
  <c r="DE38" i="1" s="1"/>
  <c r="DE39" i="1" s="1"/>
  <c r="DE40" i="1" s="1"/>
  <c r="DE41" i="1" s="1"/>
  <c r="DE42" i="1" s="1"/>
  <c r="DE43" i="1" s="1"/>
  <c r="DE44" i="1" s="1"/>
  <c r="DE45" i="1" s="1"/>
  <c r="DE46" i="1" s="1"/>
  <c r="DE47" i="1" s="1"/>
  <c r="DE48" i="1" s="1"/>
  <c r="DE49" i="1" s="1"/>
  <c r="DE50" i="1" s="1"/>
  <c r="DE51" i="1" s="1"/>
  <c r="DE52" i="1" s="1"/>
  <c r="DE53" i="1" s="1"/>
  <c r="DE54" i="1" s="1"/>
  <c r="DE55" i="1" s="1"/>
  <c r="DE56" i="1" s="1"/>
  <c r="DE57" i="1" s="1"/>
  <c r="DE58" i="1" s="1"/>
  <c r="DE59" i="1" s="1"/>
  <c r="DE60" i="1" s="1"/>
  <c r="DE61" i="1" s="1"/>
  <c r="DE62" i="1" s="1"/>
  <c r="DE63" i="1" s="1"/>
  <c r="DE64" i="1" s="1"/>
  <c r="DE65" i="1" s="1"/>
  <c r="DE66" i="1" s="1"/>
  <c r="DE67" i="1" s="1"/>
  <c r="DE68" i="1" s="1"/>
  <c r="DE69" i="1" s="1"/>
  <c r="DE70" i="1" s="1"/>
  <c r="DE71" i="1" s="1"/>
  <c r="DE72" i="1" s="1"/>
  <c r="DE73" i="1" s="1"/>
  <c r="DE74" i="1" s="1"/>
  <c r="DE75" i="1" s="1"/>
  <c r="DE76" i="1" s="1"/>
  <c r="DE77" i="1" s="1"/>
  <c r="DE78" i="1" s="1"/>
  <c r="DE79" i="1" s="1"/>
  <c r="DE80" i="1" s="1"/>
  <c r="DE81" i="1" s="1"/>
  <c r="DE82" i="1" s="1"/>
  <c r="DE83" i="1" s="1"/>
  <c r="DE84" i="1" s="1"/>
  <c r="DE85" i="1" s="1"/>
  <c r="DE86" i="1" s="1"/>
  <c r="DE87" i="1" s="1"/>
  <c r="DE88" i="1" s="1"/>
  <c r="DE89" i="1" s="1"/>
  <c r="DE90" i="1" s="1"/>
  <c r="DE91" i="1" s="1"/>
  <c r="DE92" i="1" s="1"/>
  <c r="DE93" i="1" s="1"/>
  <c r="DE94" i="1" s="1"/>
  <c r="DE95" i="1" s="1"/>
  <c r="DE96" i="1" s="1"/>
  <c r="DE97" i="1" s="1"/>
  <c r="DE98" i="1" s="1"/>
  <c r="DE99" i="1" s="1"/>
  <c r="DE100" i="1" s="1"/>
  <c r="DE101" i="1" s="1"/>
  <c r="DE102" i="1" s="1"/>
  <c r="DE103" i="1" s="1"/>
  <c r="DE104" i="1" s="1"/>
  <c r="DE105" i="1" s="1"/>
  <c r="DE106" i="1" s="1"/>
  <c r="DE107" i="1" s="1"/>
  <c r="DE108" i="1" s="1"/>
  <c r="DE109" i="1" s="1"/>
  <c r="DE110" i="1" s="1"/>
  <c r="DE111" i="1" s="1"/>
  <c r="DE112" i="1" s="1"/>
  <c r="DE113" i="1" s="1"/>
  <c r="DE114" i="1" s="1"/>
  <c r="DE115" i="1" s="1"/>
  <c r="DE116" i="1" s="1"/>
  <c r="DE117" i="1" s="1"/>
  <c r="DE118" i="1" s="1"/>
  <c r="DE119" i="1" s="1"/>
  <c r="DE120" i="1" s="1"/>
  <c r="DE121" i="1" s="1"/>
  <c r="DE122" i="1" s="1"/>
  <c r="DE123" i="1" s="1"/>
  <c r="DE124" i="1" s="1"/>
  <c r="DE125" i="1" s="1"/>
  <c r="DE126" i="1" s="1"/>
  <c r="DE127" i="1" s="1"/>
  <c r="DE128" i="1" s="1"/>
  <c r="DE129" i="1" s="1"/>
  <c r="DE130" i="1" s="1"/>
  <c r="DE131" i="1" s="1"/>
  <c r="DE132" i="1" s="1"/>
  <c r="DE133" i="1" s="1"/>
  <c r="DE134" i="1" s="1"/>
  <c r="DE135" i="1" s="1"/>
  <c r="DE136" i="1" s="1"/>
  <c r="DE137" i="1" s="1"/>
  <c r="DE138" i="1" s="1"/>
  <c r="DE139" i="1" s="1"/>
  <c r="DE140" i="1" s="1"/>
  <c r="DE141" i="1" s="1"/>
  <c r="DE142" i="1" s="1"/>
  <c r="DE143" i="1" s="1"/>
  <c r="DE144" i="1" s="1"/>
  <c r="DE145" i="1" s="1"/>
  <c r="DE146" i="1" s="1"/>
  <c r="DE147" i="1" s="1"/>
  <c r="DE148" i="1" s="1"/>
  <c r="DE149" i="1" s="1"/>
  <c r="DE150" i="1" s="1"/>
  <c r="DE151" i="1" s="1"/>
  <c r="DE152" i="1" s="1"/>
  <c r="DE153" i="1" s="1"/>
  <c r="DE154" i="1" s="1"/>
  <c r="DE155" i="1" s="1"/>
  <c r="DE156" i="1" s="1"/>
  <c r="DE157" i="1" s="1"/>
  <c r="DE158" i="1" s="1"/>
  <c r="DE159" i="1" s="1"/>
  <c r="DE160" i="1" s="1"/>
  <c r="DE161" i="1" s="1"/>
  <c r="DE162" i="1" s="1"/>
  <c r="DE163" i="1" s="1"/>
  <c r="DE164" i="1" s="1"/>
  <c r="DE165" i="1" s="1"/>
  <c r="DE166" i="1" s="1"/>
  <c r="DE167" i="1" s="1"/>
  <c r="DE168" i="1" s="1"/>
  <c r="DE169" i="1" s="1"/>
  <c r="DE170" i="1" s="1"/>
  <c r="DE171" i="1" s="1"/>
  <c r="DE172" i="1" s="1"/>
  <c r="DE173" i="1" s="1"/>
  <c r="DE174" i="1" s="1"/>
  <c r="DE175" i="1" s="1"/>
  <c r="DE176" i="1" s="1"/>
  <c r="DE177" i="1" s="1"/>
  <c r="DE178" i="1" s="1"/>
  <c r="DE179" i="1" s="1"/>
  <c r="DE180" i="1" s="1"/>
  <c r="DE181" i="1" s="1"/>
  <c r="DE182" i="1" s="1"/>
  <c r="DE183" i="1" s="1"/>
  <c r="DE184" i="1" s="1"/>
  <c r="DE185" i="1" s="1"/>
  <c r="DE186" i="1" s="1"/>
  <c r="DE187" i="1" s="1"/>
  <c r="DE188" i="1" s="1"/>
  <c r="DE189" i="1" s="1"/>
  <c r="DE190" i="1" s="1"/>
  <c r="DE191" i="1" s="1"/>
  <c r="DE192" i="1" s="1"/>
  <c r="DE193" i="1" s="1"/>
  <c r="DE194" i="1" s="1"/>
  <c r="DE195" i="1" s="1"/>
  <c r="DE196" i="1" s="1"/>
  <c r="DE197" i="1" s="1"/>
  <c r="DE198" i="1" s="1"/>
  <c r="DE199" i="1" s="1"/>
  <c r="DE200" i="1" s="1"/>
  <c r="DE201" i="1" s="1"/>
  <c r="DE202" i="1" s="1"/>
  <c r="DE203" i="1" s="1"/>
  <c r="DE204" i="1" s="1"/>
  <c r="DE205" i="1" s="1"/>
  <c r="DE206" i="1" s="1"/>
  <c r="DE207" i="1" s="1"/>
  <c r="DE208" i="1" s="1"/>
  <c r="DE209" i="1" s="1"/>
  <c r="DE210" i="1" s="1"/>
  <c r="DE211" i="1" s="1"/>
  <c r="DE212" i="1" s="1"/>
  <c r="DE213" i="1" s="1"/>
  <c r="DE214" i="1" s="1"/>
  <c r="DE215" i="1" s="1"/>
  <c r="DE216" i="1" s="1"/>
  <c r="DE217" i="1" s="1"/>
  <c r="DE218" i="1" s="1"/>
  <c r="DE219" i="1" s="1"/>
  <c r="DE220" i="1" s="1"/>
  <c r="DE221" i="1" s="1"/>
  <c r="DE222" i="1" s="1"/>
  <c r="DE223" i="1" s="1"/>
  <c r="DE224" i="1" s="1"/>
  <c r="DE225" i="1" s="1"/>
  <c r="DE226" i="1" s="1"/>
  <c r="DE227" i="1" s="1"/>
  <c r="DE228" i="1" s="1"/>
  <c r="DE229" i="1" s="1"/>
  <c r="DE230" i="1" s="1"/>
  <c r="DE231" i="1" s="1"/>
  <c r="DE232" i="1" s="1"/>
  <c r="DE233" i="1" s="1"/>
  <c r="DE234" i="1" s="1"/>
  <c r="DE235" i="1" s="1"/>
  <c r="DE236" i="1" s="1"/>
  <c r="DE237" i="1" s="1"/>
  <c r="DE238" i="1" s="1"/>
  <c r="DE239" i="1" s="1"/>
  <c r="DE240" i="1" s="1"/>
  <c r="DE241" i="1" s="1"/>
  <c r="DE242" i="1" s="1"/>
  <c r="DE243" i="1" s="1"/>
  <c r="DE244" i="1" s="1"/>
  <c r="DE245" i="1" s="1"/>
  <c r="DE246" i="1" s="1"/>
  <c r="DE247" i="1" s="1"/>
  <c r="DE248" i="1" s="1"/>
  <c r="DE249" i="1" s="1"/>
  <c r="DE250" i="1" s="1"/>
  <c r="DE251" i="1" s="1"/>
  <c r="DE252" i="1" s="1"/>
  <c r="DE253" i="1" s="1"/>
  <c r="DE254" i="1" s="1"/>
  <c r="DE255" i="1" s="1"/>
  <c r="DE256" i="1" s="1"/>
  <c r="DE257" i="1" s="1"/>
  <c r="DE258" i="1" s="1"/>
  <c r="DE259" i="1" s="1"/>
  <c r="DE260" i="1" s="1"/>
  <c r="DE261" i="1" s="1"/>
  <c r="DE262" i="1" s="1"/>
  <c r="DE263" i="1" s="1"/>
  <c r="DE264" i="1" s="1"/>
  <c r="DE265" i="1" s="1"/>
  <c r="DE266" i="1" s="1"/>
  <c r="DE267" i="1" s="1"/>
  <c r="DE268" i="1" s="1"/>
  <c r="DE269" i="1" s="1"/>
  <c r="DE270" i="1" s="1"/>
  <c r="DE271" i="1" s="1"/>
  <c r="DE272" i="1" s="1"/>
  <c r="DE273" i="1" s="1"/>
  <c r="DE274" i="1" s="1"/>
  <c r="DE275" i="1" s="1"/>
  <c r="DE276" i="1" s="1"/>
  <c r="DE277" i="1" s="1"/>
  <c r="DE278" i="1" s="1"/>
  <c r="DE279" i="1" s="1"/>
  <c r="DE280" i="1" s="1"/>
  <c r="DE281" i="1" s="1"/>
  <c r="DE282" i="1" s="1"/>
  <c r="DE283" i="1" s="1"/>
  <c r="DE284" i="1" s="1"/>
  <c r="DE285" i="1" s="1"/>
  <c r="DE286" i="1" s="1"/>
  <c r="DE287" i="1" s="1"/>
  <c r="DE288" i="1" s="1"/>
  <c r="DE289" i="1" s="1"/>
  <c r="DE290" i="1" s="1"/>
  <c r="DE291" i="1" s="1"/>
  <c r="DE292" i="1" s="1"/>
  <c r="DE293" i="1" s="1"/>
  <c r="DE294" i="1" s="1"/>
  <c r="DE295" i="1" s="1"/>
  <c r="DE296" i="1" s="1"/>
  <c r="DE297" i="1" s="1"/>
  <c r="DE298" i="1" s="1"/>
  <c r="DE299" i="1" s="1"/>
  <c r="DE300" i="1" s="1"/>
  <c r="DE301" i="1" s="1"/>
  <c r="DC4" i="1"/>
  <c r="DC5" i="1" s="1"/>
  <c r="DC6" i="1" s="1"/>
  <c r="DC7" i="1" s="1"/>
  <c r="DC8" i="1" s="1"/>
  <c r="DC9" i="1" s="1"/>
  <c r="DC10" i="1" s="1"/>
  <c r="DC11" i="1" s="1"/>
  <c r="DC12" i="1" s="1"/>
  <c r="DC13" i="1" s="1"/>
  <c r="DC14" i="1" s="1"/>
  <c r="DC15" i="1" s="1"/>
  <c r="DC16" i="1" s="1"/>
  <c r="DC17" i="1" s="1"/>
  <c r="DC18" i="1" s="1"/>
  <c r="DC19" i="1" s="1"/>
  <c r="DC20" i="1" s="1"/>
  <c r="DC21" i="1" s="1"/>
  <c r="DC22" i="1" s="1"/>
  <c r="DC23" i="1" s="1"/>
  <c r="DC24" i="1" s="1"/>
  <c r="DC25" i="1" s="1"/>
  <c r="DC26" i="1" s="1"/>
  <c r="DC27" i="1" s="1"/>
  <c r="DC28" i="1" s="1"/>
  <c r="DC29" i="1" s="1"/>
  <c r="DC30" i="1" s="1"/>
  <c r="DC31" i="1" s="1"/>
  <c r="DC32" i="1" s="1"/>
  <c r="DC33" i="1" s="1"/>
  <c r="DC34" i="1" s="1"/>
  <c r="DC35" i="1" s="1"/>
  <c r="DC36" i="1" s="1"/>
  <c r="DC37" i="1" s="1"/>
  <c r="DC38" i="1" s="1"/>
  <c r="DC39" i="1" s="1"/>
  <c r="DC40" i="1" s="1"/>
  <c r="DC41" i="1" s="1"/>
  <c r="DC42" i="1" s="1"/>
  <c r="DC43" i="1" s="1"/>
  <c r="DC44" i="1" s="1"/>
  <c r="DC45" i="1" s="1"/>
  <c r="DC46" i="1" s="1"/>
  <c r="DC47" i="1" s="1"/>
  <c r="DC48" i="1" s="1"/>
  <c r="DC49" i="1" s="1"/>
  <c r="DC50" i="1" s="1"/>
  <c r="DC51" i="1" s="1"/>
  <c r="DC52" i="1" s="1"/>
  <c r="DC53" i="1" s="1"/>
  <c r="DC54" i="1" s="1"/>
  <c r="DC55" i="1" s="1"/>
  <c r="DC56" i="1" s="1"/>
  <c r="DC57" i="1" s="1"/>
  <c r="DC58" i="1" s="1"/>
  <c r="DC59" i="1" s="1"/>
  <c r="DC60" i="1" s="1"/>
  <c r="DC61" i="1" s="1"/>
  <c r="DC62" i="1" s="1"/>
  <c r="DC63" i="1" s="1"/>
  <c r="DC64" i="1" s="1"/>
  <c r="DC65" i="1" s="1"/>
  <c r="DC66" i="1" s="1"/>
  <c r="DC67" i="1" s="1"/>
  <c r="DC68" i="1" s="1"/>
  <c r="DC69" i="1" s="1"/>
  <c r="DC70" i="1" s="1"/>
  <c r="DC71" i="1" s="1"/>
  <c r="DC72" i="1" s="1"/>
  <c r="DC73" i="1" s="1"/>
  <c r="DC74" i="1" s="1"/>
  <c r="DC75" i="1" s="1"/>
  <c r="DC76" i="1" s="1"/>
  <c r="DC77" i="1" s="1"/>
  <c r="DC78" i="1" s="1"/>
  <c r="DC79" i="1" s="1"/>
  <c r="DC80" i="1" s="1"/>
  <c r="DC81" i="1" s="1"/>
  <c r="DC82" i="1" s="1"/>
  <c r="DC83" i="1" s="1"/>
  <c r="DC84" i="1" s="1"/>
  <c r="DC85" i="1" s="1"/>
  <c r="DC86" i="1" s="1"/>
  <c r="DC87" i="1" s="1"/>
  <c r="DC88" i="1" s="1"/>
  <c r="DC89" i="1" s="1"/>
  <c r="DC90" i="1" s="1"/>
  <c r="DC91" i="1" s="1"/>
  <c r="DC92" i="1" s="1"/>
  <c r="DC93" i="1" s="1"/>
  <c r="DC94" i="1" s="1"/>
  <c r="DC95" i="1" s="1"/>
  <c r="DC96" i="1" s="1"/>
  <c r="DC97" i="1" s="1"/>
  <c r="DC98" i="1" s="1"/>
  <c r="DC99" i="1" s="1"/>
  <c r="DC100" i="1" s="1"/>
  <c r="DC101" i="1" s="1"/>
  <c r="DC102" i="1" s="1"/>
  <c r="DC103" i="1" s="1"/>
  <c r="DC104" i="1" s="1"/>
  <c r="DC105" i="1" s="1"/>
  <c r="DC106" i="1" s="1"/>
  <c r="DC107" i="1" s="1"/>
  <c r="DC108" i="1" s="1"/>
  <c r="DC109" i="1" s="1"/>
  <c r="DC110" i="1" s="1"/>
  <c r="DC111" i="1" s="1"/>
  <c r="DC112" i="1" s="1"/>
  <c r="DC113" i="1" s="1"/>
  <c r="DC114" i="1" s="1"/>
  <c r="DC115" i="1" s="1"/>
  <c r="DC116" i="1" s="1"/>
  <c r="DC117" i="1" s="1"/>
  <c r="DC118" i="1" s="1"/>
  <c r="DC119" i="1" s="1"/>
  <c r="DC120" i="1" s="1"/>
  <c r="DC121" i="1" s="1"/>
  <c r="DC122" i="1" s="1"/>
  <c r="DC123" i="1" s="1"/>
  <c r="DC124" i="1" s="1"/>
  <c r="DC125" i="1" s="1"/>
  <c r="DC126" i="1" s="1"/>
  <c r="DC127" i="1" s="1"/>
  <c r="DC128" i="1" s="1"/>
  <c r="DC129" i="1" s="1"/>
  <c r="DC130" i="1" s="1"/>
  <c r="DC131" i="1" s="1"/>
  <c r="DC132" i="1" s="1"/>
  <c r="DC133" i="1" s="1"/>
  <c r="DC134" i="1" s="1"/>
  <c r="DC135" i="1" s="1"/>
  <c r="DC136" i="1" s="1"/>
  <c r="DC137" i="1" s="1"/>
  <c r="DC138" i="1" s="1"/>
  <c r="DC139" i="1" s="1"/>
  <c r="DC140" i="1" s="1"/>
  <c r="DC141" i="1" s="1"/>
  <c r="DC142" i="1" s="1"/>
  <c r="DC143" i="1" s="1"/>
  <c r="DC144" i="1" s="1"/>
  <c r="DC145" i="1" s="1"/>
  <c r="DC146" i="1" s="1"/>
  <c r="DC147" i="1" s="1"/>
  <c r="DC148" i="1" s="1"/>
  <c r="DC149" i="1" s="1"/>
  <c r="DC150" i="1" s="1"/>
  <c r="DC151" i="1" s="1"/>
  <c r="DC152" i="1" s="1"/>
  <c r="DC153" i="1" s="1"/>
  <c r="DC154" i="1" s="1"/>
  <c r="DC155" i="1" s="1"/>
  <c r="DC156" i="1" s="1"/>
  <c r="DC157" i="1" s="1"/>
  <c r="DC158" i="1" s="1"/>
  <c r="DC159" i="1" s="1"/>
  <c r="DC160" i="1" s="1"/>
  <c r="DC161" i="1" s="1"/>
  <c r="DC162" i="1" s="1"/>
  <c r="DC163" i="1" s="1"/>
  <c r="DC164" i="1" s="1"/>
  <c r="DC165" i="1" s="1"/>
  <c r="DC166" i="1" s="1"/>
  <c r="DC167" i="1" s="1"/>
  <c r="DC168" i="1" s="1"/>
  <c r="DC169" i="1" s="1"/>
  <c r="DC170" i="1" s="1"/>
  <c r="DC171" i="1" s="1"/>
  <c r="DC172" i="1" s="1"/>
  <c r="DC173" i="1" s="1"/>
  <c r="DC174" i="1" s="1"/>
  <c r="DC175" i="1" s="1"/>
  <c r="DC176" i="1" s="1"/>
  <c r="DC177" i="1" s="1"/>
  <c r="DC178" i="1" s="1"/>
  <c r="DC179" i="1" s="1"/>
  <c r="DC180" i="1" s="1"/>
  <c r="DC181" i="1" s="1"/>
  <c r="DC182" i="1" s="1"/>
  <c r="DC183" i="1" s="1"/>
  <c r="DC184" i="1" s="1"/>
  <c r="DC185" i="1" s="1"/>
  <c r="DC186" i="1" s="1"/>
  <c r="DC187" i="1" s="1"/>
  <c r="DC188" i="1" s="1"/>
  <c r="DC189" i="1" s="1"/>
  <c r="DC190" i="1" s="1"/>
  <c r="DC191" i="1" s="1"/>
  <c r="DC192" i="1" s="1"/>
  <c r="DC193" i="1" s="1"/>
  <c r="DC194" i="1" s="1"/>
  <c r="DC195" i="1" s="1"/>
  <c r="DC196" i="1" s="1"/>
  <c r="DC197" i="1" s="1"/>
  <c r="DC198" i="1" s="1"/>
  <c r="DC199" i="1" s="1"/>
  <c r="DC200" i="1" s="1"/>
  <c r="DC201" i="1" s="1"/>
  <c r="DC202" i="1" s="1"/>
  <c r="DC203" i="1" s="1"/>
  <c r="DC204" i="1" s="1"/>
  <c r="DC205" i="1" s="1"/>
  <c r="DC206" i="1" s="1"/>
  <c r="DC207" i="1" s="1"/>
  <c r="DC208" i="1" s="1"/>
  <c r="DC209" i="1" s="1"/>
  <c r="DC210" i="1" s="1"/>
  <c r="DC211" i="1" s="1"/>
  <c r="DC212" i="1" s="1"/>
  <c r="DC213" i="1" s="1"/>
  <c r="DC214" i="1" s="1"/>
  <c r="DC215" i="1" s="1"/>
  <c r="DC216" i="1" s="1"/>
  <c r="DC217" i="1" s="1"/>
  <c r="DC218" i="1" s="1"/>
  <c r="DC219" i="1" s="1"/>
  <c r="DC220" i="1" s="1"/>
  <c r="DC221" i="1" s="1"/>
  <c r="DC222" i="1" s="1"/>
  <c r="DC223" i="1" s="1"/>
  <c r="DC224" i="1" s="1"/>
  <c r="DC225" i="1" s="1"/>
  <c r="DC226" i="1" s="1"/>
  <c r="DC227" i="1" s="1"/>
  <c r="DC228" i="1" s="1"/>
  <c r="DC229" i="1" s="1"/>
  <c r="DC230" i="1" s="1"/>
  <c r="DC231" i="1" s="1"/>
  <c r="DC232" i="1" s="1"/>
  <c r="DC233" i="1" s="1"/>
  <c r="DC234" i="1" s="1"/>
  <c r="DC235" i="1" s="1"/>
  <c r="DC236" i="1" s="1"/>
  <c r="DC237" i="1" s="1"/>
  <c r="DC238" i="1" s="1"/>
  <c r="DC239" i="1" s="1"/>
  <c r="DC240" i="1" s="1"/>
  <c r="DC241" i="1" s="1"/>
  <c r="DC242" i="1" s="1"/>
  <c r="DC243" i="1" s="1"/>
  <c r="DC244" i="1" s="1"/>
  <c r="DC245" i="1" s="1"/>
  <c r="DC246" i="1" s="1"/>
  <c r="DC247" i="1" s="1"/>
  <c r="DC248" i="1" s="1"/>
  <c r="DC249" i="1" s="1"/>
  <c r="DC250" i="1" s="1"/>
  <c r="DC251" i="1" s="1"/>
  <c r="DC252" i="1" s="1"/>
  <c r="DC253" i="1" s="1"/>
  <c r="DC254" i="1" s="1"/>
  <c r="DC255" i="1" s="1"/>
  <c r="DC256" i="1" s="1"/>
  <c r="DC257" i="1" s="1"/>
  <c r="DC258" i="1" s="1"/>
  <c r="DC259" i="1" s="1"/>
  <c r="DC260" i="1" s="1"/>
  <c r="DC261" i="1" s="1"/>
  <c r="DC262" i="1" s="1"/>
  <c r="DC263" i="1" s="1"/>
  <c r="DC264" i="1" s="1"/>
  <c r="DC265" i="1" s="1"/>
  <c r="DC266" i="1" s="1"/>
  <c r="DC267" i="1" s="1"/>
  <c r="DC268" i="1" s="1"/>
  <c r="DC269" i="1" s="1"/>
  <c r="DC270" i="1" s="1"/>
  <c r="DC271" i="1" s="1"/>
  <c r="DC272" i="1" s="1"/>
  <c r="DC273" i="1" s="1"/>
  <c r="DC274" i="1" s="1"/>
  <c r="DC275" i="1" s="1"/>
  <c r="DC276" i="1" s="1"/>
  <c r="DC277" i="1" s="1"/>
  <c r="DC278" i="1" s="1"/>
  <c r="DC279" i="1" s="1"/>
  <c r="DC280" i="1" s="1"/>
  <c r="DC281" i="1" s="1"/>
  <c r="DC282" i="1" s="1"/>
  <c r="DC283" i="1" s="1"/>
  <c r="DC284" i="1" s="1"/>
  <c r="DC285" i="1" s="1"/>
  <c r="DC286" i="1" s="1"/>
  <c r="DC287" i="1" s="1"/>
  <c r="DC288" i="1" s="1"/>
  <c r="DC289" i="1" s="1"/>
  <c r="DC290" i="1" s="1"/>
  <c r="DC291" i="1" s="1"/>
  <c r="DC292" i="1" s="1"/>
  <c r="DC293" i="1" s="1"/>
  <c r="DC294" i="1" s="1"/>
  <c r="DC295" i="1" s="1"/>
  <c r="DC296" i="1" s="1"/>
  <c r="DC297" i="1" s="1"/>
  <c r="DC298" i="1" s="1"/>
  <c r="DC299" i="1" s="1"/>
  <c r="DC300" i="1" s="1"/>
  <c r="DC301" i="1" s="1"/>
  <c r="AL30" i="1"/>
  <c r="AN33" i="1"/>
  <c r="AL27" i="1"/>
  <c r="AL20" i="1"/>
  <c r="AL18" i="1"/>
  <c r="AL12" i="1"/>
  <c r="AL6" i="1"/>
  <c r="AN18" i="1"/>
  <c r="AN22" i="1"/>
  <c r="DR7" i="1"/>
  <c r="DR4" i="1"/>
  <c r="DR3" i="1"/>
  <c r="DR5" i="1" l="1"/>
  <c r="DR6" i="1"/>
  <c r="DR8" i="1"/>
  <c r="DR9" i="1"/>
  <c r="DR2" i="1"/>
  <c r="DR13" i="1" l="1"/>
  <c r="DR12" i="1" l="1"/>
  <c r="DR11" i="1"/>
  <c r="DR10" i="1"/>
  <c r="CC2" i="1" l="1"/>
  <c r="Q301" i="1" l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AS3" i="1"/>
  <c r="AS4" i="1" s="1"/>
  <c r="AS6" i="1" s="1"/>
  <c r="AS7" i="1" s="1"/>
  <c r="AS8" i="1" s="1"/>
  <c r="AS9" i="1" s="1"/>
  <c r="AS10" i="1" s="1"/>
  <c r="AS11" i="1" s="1"/>
  <c r="AS12" i="1" s="1"/>
  <c r="AS13" i="1" s="1"/>
  <c r="AS14" i="1" s="1"/>
  <c r="AS15" i="1" s="1"/>
  <c r="AS16" i="1" s="1"/>
  <c r="AS18" i="1" s="1"/>
  <c r="AS19" i="1" s="1"/>
  <c r="AS20" i="1" s="1"/>
  <c r="AS21" i="1" s="1"/>
  <c r="AS22" i="1" s="1"/>
  <c r="AS23" i="1" s="1"/>
  <c r="AS24" i="1" s="1"/>
  <c r="AS25" i="1" s="1"/>
  <c r="AS26" i="1" s="1"/>
  <c r="AS27" i="1" s="1"/>
  <c r="AS28" i="1" s="1"/>
  <c r="AS29" i="1" s="1"/>
  <c r="AS30" i="1" s="1"/>
  <c r="AS31" i="1" s="1"/>
  <c r="AS32" i="1" s="1"/>
  <c r="AS33" i="1" s="1"/>
  <c r="AS34" i="1" s="1"/>
  <c r="AS35" i="1" s="1"/>
  <c r="AS36" i="1" s="1"/>
  <c r="AS37" i="1" s="1"/>
  <c r="AS38" i="1" s="1"/>
  <c r="AS39" i="1" s="1"/>
  <c r="AS40" i="1" s="1"/>
  <c r="AS41" i="1" s="1"/>
  <c r="AS42" i="1" s="1"/>
  <c r="AS43" i="1" s="1"/>
  <c r="AS44" i="1" s="1"/>
  <c r="AS45" i="1" s="1"/>
  <c r="AS46" i="1" s="1"/>
  <c r="AS47" i="1" s="1"/>
  <c r="AS48" i="1" s="1"/>
  <c r="AS49" i="1" s="1"/>
  <c r="AS50" i="1" s="1"/>
  <c r="AS51" i="1" s="1"/>
  <c r="AS52" i="1" s="1"/>
  <c r="AS53" i="1" s="1"/>
  <c r="AS54" i="1" s="1"/>
  <c r="AS55" i="1" s="1"/>
  <c r="AS56" i="1" s="1"/>
  <c r="AS57" i="1" s="1"/>
  <c r="AS58" i="1" s="1"/>
  <c r="AS59" i="1" s="1"/>
  <c r="AS60" i="1" s="1"/>
  <c r="AS61" i="1" s="1"/>
  <c r="AS62" i="1" s="1"/>
  <c r="AS63" i="1" s="1"/>
  <c r="AS64" i="1" s="1"/>
  <c r="AS65" i="1" s="1"/>
  <c r="AS66" i="1" s="1"/>
  <c r="AS67" i="1" s="1"/>
  <c r="AS68" i="1" s="1"/>
  <c r="AS69" i="1" s="1"/>
  <c r="AS70" i="1" s="1"/>
  <c r="AS71" i="1" s="1"/>
  <c r="AS72" i="1" s="1"/>
  <c r="AS73" i="1" s="1"/>
  <c r="AS74" i="1" s="1"/>
  <c r="AS75" i="1" s="1"/>
  <c r="AS76" i="1" s="1"/>
  <c r="AS77" i="1" s="1"/>
  <c r="AS78" i="1" s="1"/>
  <c r="AS79" i="1" s="1"/>
  <c r="AS80" i="1" s="1"/>
  <c r="AS81" i="1" s="1"/>
  <c r="AS82" i="1" s="1"/>
  <c r="AS83" i="1" s="1"/>
  <c r="AS84" i="1" s="1"/>
  <c r="AS85" i="1" s="1"/>
  <c r="AS86" i="1" s="1"/>
  <c r="AS87" i="1" s="1"/>
  <c r="AS88" i="1" s="1"/>
  <c r="AS89" i="1" s="1"/>
  <c r="AS90" i="1" s="1"/>
  <c r="AS91" i="1" s="1"/>
  <c r="AS92" i="1" s="1"/>
  <c r="AS93" i="1" s="1"/>
  <c r="AS94" i="1" s="1"/>
  <c r="AS95" i="1" s="1"/>
  <c r="AS96" i="1" s="1"/>
  <c r="AS97" i="1" s="1"/>
  <c r="AS98" i="1" s="1"/>
  <c r="AS99" i="1" s="1"/>
  <c r="AS100" i="1" s="1"/>
  <c r="AS101" i="1" s="1"/>
  <c r="AS102" i="1" s="1"/>
  <c r="AS103" i="1" s="1"/>
  <c r="AS104" i="1" s="1"/>
  <c r="AS105" i="1" s="1"/>
  <c r="AS106" i="1" s="1"/>
  <c r="AS107" i="1" s="1"/>
  <c r="AS108" i="1" s="1"/>
  <c r="AS109" i="1" s="1"/>
  <c r="AS110" i="1" s="1"/>
  <c r="AS111" i="1" s="1"/>
  <c r="AS112" i="1" s="1"/>
  <c r="AS113" i="1" s="1"/>
  <c r="AS114" i="1" s="1"/>
  <c r="AS115" i="1" s="1"/>
  <c r="AS116" i="1" s="1"/>
  <c r="AS117" i="1" s="1"/>
  <c r="AS118" i="1" s="1"/>
  <c r="AS119" i="1" s="1"/>
  <c r="AS120" i="1" s="1"/>
  <c r="AS121" i="1" s="1"/>
  <c r="AS122" i="1" s="1"/>
  <c r="AS123" i="1" s="1"/>
  <c r="AS124" i="1" s="1"/>
  <c r="AS125" i="1" s="1"/>
  <c r="AS126" i="1" s="1"/>
  <c r="AS127" i="1" s="1"/>
  <c r="AS128" i="1" s="1"/>
  <c r="AS129" i="1" s="1"/>
  <c r="AS130" i="1" s="1"/>
  <c r="AS131" i="1" s="1"/>
  <c r="AS132" i="1" s="1"/>
  <c r="AS133" i="1" s="1"/>
  <c r="AS134" i="1" s="1"/>
  <c r="AS135" i="1" s="1"/>
  <c r="AS136" i="1" s="1"/>
  <c r="AS137" i="1" s="1"/>
  <c r="AS138" i="1" s="1"/>
  <c r="AS139" i="1" s="1"/>
  <c r="AS140" i="1" s="1"/>
  <c r="AS141" i="1" s="1"/>
  <c r="AS142" i="1" s="1"/>
  <c r="AS143" i="1" s="1"/>
  <c r="AS144" i="1" s="1"/>
  <c r="AS145" i="1" s="1"/>
  <c r="AS146" i="1" s="1"/>
  <c r="AS147" i="1" s="1"/>
  <c r="AS148" i="1" s="1"/>
  <c r="AS149" i="1" s="1"/>
  <c r="AS150" i="1" s="1"/>
  <c r="AS151" i="1" s="1"/>
  <c r="AS152" i="1" s="1"/>
  <c r="AS153" i="1" s="1"/>
  <c r="AS154" i="1" s="1"/>
  <c r="AS155" i="1" s="1"/>
  <c r="AS156" i="1" s="1"/>
  <c r="AS157" i="1" s="1"/>
  <c r="AS158" i="1" s="1"/>
  <c r="AS159" i="1" s="1"/>
  <c r="AS160" i="1" s="1"/>
  <c r="AS161" i="1" s="1"/>
  <c r="AS162" i="1" s="1"/>
  <c r="AS163" i="1" s="1"/>
  <c r="AS164" i="1" s="1"/>
  <c r="AS165" i="1" s="1"/>
  <c r="AS166" i="1" s="1"/>
  <c r="AS167" i="1" s="1"/>
  <c r="AS168" i="1" s="1"/>
  <c r="AS169" i="1" s="1"/>
  <c r="AS170" i="1" s="1"/>
  <c r="AS171" i="1" s="1"/>
  <c r="AS172" i="1" s="1"/>
  <c r="AS173" i="1" s="1"/>
  <c r="AS174" i="1" s="1"/>
  <c r="AS175" i="1" s="1"/>
  <c r="AS176" i="1" s="1"/>
  <c r="AS177" i="1" s="1"/>
  <c r="AS178" i="1" s="1"/>
  <c r="AS179" i="1" s="1"/>
  <c r="AS180" i="1" s="1"/>
  <c r="AS181" i="1" s="1"/>
  <c r="AS182" i="1" s="1"/>
  <c r="AS183" i="1" s="1"/>
  <c r="AS184" i="1" s="1"/>
  <c r="AS185" i="1" s="1"/>
  <c r="AS186" i="1" s="1"/>
  <c r="AS187" i="1" s="1"/>
  <c r="AS188" i="1" s="1"/>
  <c r="AS189" i="1" s="1"/>
  <c r="AS190" i="1" s="1"/>
  <c r="AS191" i="1" s="1"/>
  <c r="AS192" i="1" s="1"/>
  <c r="AS193" i="1" s="1"/>
  <c r="AS194" i="1" s="1"/>
  <c r="AS195" i="1" s="1"/>
  <c r="AS196" i="1" s="1"/>
  <c r="AS197" i="1" s="1"/>
  <c r="AS198" i="1" s="1"/>
  <c r="AS199" i="1" s="1"/>
  <c r="AS200" i="1" s="1"/>
  <c r="AS201" i="1" s="1"/>
  <c r="AS202" i="1" s="1"/>
  <c r="AS203" i="1" s="1"/>
  <c r="AS204" i="1" s="1"/>
  <c r="AS205" i="1" s="1"/>
  <c r="AS206" i="1" s="1"/>
  <c r="AS207" i="1" s="1"/>
  <c r="AS208" i="1" s="1"/>
  <c r="AS209" i="1" s="1"/>
  <c r="AS210" i="1" s="1"/>
  <c r="AS211" i="1" s="1"/>
  <c r="AS212" i="1" s="1"/>
  <c r="AS213" i="1" s="1"/>
  <c r="AS214" i="1" s="1"/>
  <c r="AS215" i="1" s="1"/>
  <c r="AS216" i="1" s="1"/>
  <c r="AS217" i="1" s="1"/>
  <c r="AS218" i="1" s="1"/>
  <c r="AS219" i="1" s="1"/>
  <c r="AS220" i="1" s="1"/>
  <c r="AS221" i="1" s="1"/>
  <c r="AS222" i="1" s="1"/>
  <c r="AS223" i="1" s="1"/>
  <c r="AS224" i="1" s="1"/>
  <c r="AS225" i="1" s="1"/>
  <c r="AS226" i="1" s="1"/>
  <c r="AS227" i="1" s="1"/>
  <c r="AS228" i="1" s="1"/>
  <c r="AS229" i="1" s="1"/>
  <c r="AS230" i="1" s="1"/>
  <c r="AS231" i="1" s="1"/>
  <c r="AS232" i="1" s="1"/>
  <c r="AS233" i="1" s="1"/>
  <c r="AS234" i="1" s="1"/>
  <c r="AS235" i="1" s="1"/>
  <c r="AS236" i="1" s="1"/>
  <c r="AS237" i="1" s="1"/>
  <c r="AS238" i="1" s="1"/>
  <c r="AS239" i="1" s="1"/>
  <c r="AS240" i="1" s="1"/>
  <c r="AS241" i="1" s="1"/>
  <c r="AS242" i="1" s="1"/>
  <c r="AS243" i="1" s="1"/>
  <c r="AS244" i="1" s="1"/>
  <c r="AS245" i="1" s="1"/>
  <c r="AS246" i="1" s="1"/>
  <c r="AS247" i="1" s="1"/>
  <c r="AS248" i="1" s="1"/>
  <c r="AS249" i="1" s="1"/>
  <c r="AS250" i="1" s="1"/>
  <c r="AS251" i="1" s="1"/>
  <c r="AS252" i="1" s="1"/>
  <c r="AS253" i="1" s="1"/>
  <c r="AS254" i="1" s="1"/>
  <c r="AS255" i="1" s="1"/>
  <c r="AS256" i="1" s="1"/>
  <c r="AS257" i="1" s="1"/>
  <c r="AS258" i="1" s="1"/>
  <c r="AS259" i="1" s="1"/>
  <c r="AS260" i="1" s="1"/>
  <c r="AS261" i="1" s="1"/>
  <c r="AS262" i="1" s="1"/>
  <c r="AS263" i="1" s="1"/>
  <c r="AS264" i="1" s="1"/>
  <c r="AS265" i="1" s="1"/>
  <c r="AS266" i="1" s="1"/>
  <c r="AS267" i="1" s="1"/>
  <c r="AS268" i="1" s="1"/>
  <c r="AS269" i="1" s="1"/>
  <c r="AS270" i="1" s="1"/>
  <c r="AS271" i="1" s="1"/>
  <c r="AS272" i="1" s="1"/>
  <c r="AS273" i="1" s="1"/>
  <c r="AS274" i="1" s="1"/>
  <c r="AS275" i="1" s="1"/>
  <c r="AS276" i="1" s="1"/>
  <c r="AS277" i="1" s="1"/>
  <c r="AS278" i="1" s="1"/>
  <c r="AS279" i="1" s="1"/>
  <c r="AS280" i="1" s="1"/>
  <c r="AS281" i="1" s="1"/>
  <c r="AS282" i="1" s="1"/>
  <c r="AS283" i="1" s="1"/>
  <c r="AS284" i="1" s="1"/>
  <c r="AS285" i="1" s="1"/>
  <c r="AS286" i="1" s="1"/>
  <c r="AS287" i="1" s="1"/>
  <c r="AS288" i="1" s="1"/>
  <c r="AS289" i="1" s="1"/>
  <c r="AS290" i="1" s="1"/>
  <c r="AS291" i="1" s="1"/>
  <c r="AS292" i="1" s="1"/>
  <c r="AS293" i="1" s="1"/>
  <c r="AS294" i="1" s="1"/>
  <c r="AS295" i="1" s="1"/>
  <c r="AS296" i="1" s="1"/>
  <c r="AS297" i="1" s="1"/>
  <c r="AS298" i="1" s="1"/>
  <c r="AS299" i="1" s="1"/>
  <c r="AS300" i="1" s="1"/>
  <c r="AS301" i="1" s="1"/>
  <c r="AR3" i="1"/>
  <c r="AR4" i="1" s="1"/>
  <c r="AR5" i="1" s="1"/>
  <c r="AR6" i="1" s="1"/>
  <c r="AR7" i="1" s="1"/>
  <c r="AR8" i="1" s="1"/>
  <c r="AR9" i="1" s="1"/>
  <c r="AR10" i="1" s="1"/>
  <c r="AR11" i="1" s="1"/>
  <c r="AR12" i="1" s="1"/>
  <c r="AR13" i="1" s="1"/>
  <c r="AR14" i="1" s="1"/>
  <c r="AR15" i="1" s="1"/>
  <c r="AR16" i="1" s="1"/>
  <c r="AR17" i="1" s="1"/>
  <c r="AR18" i="1" s="1"/>
  <c r="AR19" i="1" s="1"/>
  <c r="AR20" i="1" s="1"/>
  <c r="AR21" i="1" s="1"/>
  <c r="AR22" i="1" s="1"/>
  <c r="AR23" i="1" s="1"/>
  <c r="AR24" i="1" s="1"/>
  <c r="AR25" i="1" s="1"/>
  <c r="AR26" i="1" s="1"/>
  <c r="AR27" i="1" s="1"/>
  <c r="AR28" i="1" s="1"/>
  <c r="AR29" i="1" s="1"/>
  <c r="AR30" i="1" s="1"/>
  <c r="AR31" i="1" s="1"/>
  <c r="AR32" i="1" s="1"/>
  <c r="AR33" i="1" s="1"/>
  <c r="AR34" i="1" s="1"/>
  <c r="AR35" i="1" s="1"/>
  <c r="AR36" i="1" s="1"/>
  <c r="AR37" i="1" s="1"/>
  <c r="AR38" i="1" s="1"/>
  <c r="AR39" i="1" s="1"/>
  <c r="AR40" i="1" s="1"/>
  <c r="AR41" i="1" s="1"/>
  <c r="AR42" i="1" s="1"/>
  <c r="AR43" i="1" s="1"/>
  <c r="AR44" i="1" s="1"/>
  <c r="AR45" i="1" s="1"/>
  <c r="AR46" i="1" s="1"/>
  <c r="AR47" i="1" s="1"/>
  <c r="AR48" i="1" s="1"/>
  <c r="AR49" i="1" s="1"/>
  <c r="AR50" i="1" s="1"/>
  <c r="AR51" i="1" s="1"/>
  <c r="AR52" i="1" s="1"/>
  <c r="AR53" i="1" s="1"/>
  <c r="AR54" i="1" s="1"/>
  <c r="AR55" i="1" s="1"/>
  <c r="AR56" i="1" s="1"/>
  <c r="AR57" i="1" s="1"/>
  <c r="AR58" i="1" s="1"/>
  <c r="AR59" i="1" s="1"/>
  <c r="AR60" i="1" s="1"/>
  <c r="AR61" i="1" s="1"/>
  <c r="AR62" i="1" s="1"/>
  <c r="AR63" i="1" s="1"/>
  <c r="AR64" i="1" s="1"/>
  <c r="AR65" i="1" s="1"/>
  <c r="AR66" i="1" s="1"/>
  <c r="AR67" i="1" s="1"/>
  <c r="AR68" i="1" s="1"/>
  <c r="AR69" i="1" s="1"/>
  <c r="AR70" i="1" s="1"/>
  <c r="AR71" i="1" s="1"/>
  <c r="AR72" i="1" s="1"/>
  <c r="AR73" i="1" s="1"/>
  <c r="AR74" i="1" s="1"/>
  <c r="AR75" i="1" s="1"/>
  <c r="AR76" i="1" s="1"/>
  <c r="AR77" i="1" s="1"/>
  <c r="AR78" i="1" s="1"/>
  <c r="AR79" i="1" s="1"/>
  <c r="AR80" i="1" s="1"/>
  <c r="AR81" i="1" s="1"/>
  <c r="AR82" i="1" s="1"/>
  <c r="AR83" i="1" s="1"/>
  <c r="AR84" i="1" s="1"/>
  <c r="AR85" i="1" s="1"/>
  <c r="AR86" i="1" s="1"/>
  <c r="AR87" i="1" s="1"/>
  <c r="AR88" i="1" s="1"/>
  <c r="AR89" i="1" s="1"/>
  <c r="AR90" i="1" s="1"/>
  <c r="AR91" i="1" s="1"/>
  <c r="AR92" i="1" s="1"/>
  <c r="AR93" i="1" s="1"/>
  <c r="AR94" i="1" s="1"/>
  <c r="AR95" i="1" s="1"/>
  <c r="AR96" i="1" s="1"/>
  <c r="AR97" i="1" s="1"/>
  <c r="AR98" i="1" s="1"/>
  <c r="AR99" i="1" s="1"/>
  <c r="AR100" i="1" s="1"/>
  <c r="AR101" i="1" s="1"/>
  <c r="AR102" i="1" s="1"/>
  <c r="AR103" i="1" s="1"/>
  <c r="AR104" i="1" s="1"/>
  <c r="AR105" i="1" s="1"/>
  <c r="AR106" i="1" s="1"/>
  <c r="AR107" i="1" s="1"/>
  <c r="AR108" i="1" s="1"/>
  <c r="AR109" i="1" s="1"/>
  <c r="AR110" i="1" s="1"/>
  <c r="AR111" i="1" s="1"/>
  <c r="AR112" i="1" s="1"/>
  <c r="AR113" i="1" s="1"/>
  <c r="AR114" i="1" s="1"/>
  <c r="AR115" i="1" s="1"/>
  <c r="AR116" i="1" s="1"/>
  <c r="AR117" i="1" s="1"/>
  <c r="AR118" i="1" s="1"/>
  <c r="AR119" i="1" s="1"/>
  <c r="AR120" i="1" s="1"/>
  <c r="AR121" i="1" s="1"/>
  <c r="AR122" i="1" s="1"/>
  <c r="AR123" i="1" s="1"/>
  <c r="AR124" i="1" s="1"/>
  <c r="AR125" i="1" s="1"/>
  <c r="AR126" i="1" s="1"/>
  <c r="AR127" i="1" s="1"/>
  <c r="AR128" i="1" s="1"/>
  <c r="AR129" i="1" s="1"/>
  <c r="AR130" i="1" s="1"/>
  <c r="AR131" i="1" s="1"/>
  <c r="AR132" i="1" s="1"/>
  <c r="AR133" i="1" s="1"/>
  <c r="AR134" i="1" s="1"/>
  <c r="AR135" i="1" s="1"/>
  <c r="AR136" i="1" s="1"/>
  <c r="AR137" i="1" s="1"/>
  <c r="AR138" i="1" s="1"/>
  <c r="AR139" i="1" s="1"/>
  <c r="AR140" i="1" s="1"/>
  <c r="AR141" i="1" s="1"/>
  <c r="AR142" i="1" s="1"/>
  <c r="AR143" i="1" s="1"/>
  <c r="AR144" i="1" s="1"/>
  <c r="AR145" i="1" s="1"/>
  <c r="AR146" i="1" s="1"/>
  <c r="AR147" i="1" s="1"/>
  <c r="AR148" i="1" s="1"/>
  <c r="AR149" i="1" s="1"/>
  <c r="AR150" i="1" s="1"/>
  <c r="AR151" i="1" s="1"/>
  <c r="AR152" i="1" s="1"/>
  <c r="AR153" i="1" s="1"/>
  <c r="AR154" i="1" s="1"/>
  <c r="AR155" i="1" s="1"/>
  <c r="AR156" i="1" s="1"/>
  <c r="AR157" i="1" s="1"/>
  <c r="AR158" i="1" s="1"/>
  <c r="AR159" i="1" s="1"/>
  <c r="AR160" i="1" s="1"/>
  <c r="AR161" i="1" s="1"/>
  <c r="AR162" i="1" s="1"/>
  <c r="AR163" i="1" s="1"/>
  <c r="AR164" i="1" s="1"/>
  <c r="AR165" i="1" s="1"/>
  <c r="AR166" i="1" s="1"/>
  <c r="AR167" i="1" s="1"/>
  <c r="AR168" i="1" s="1"/>
  <c r="AR169" i="1" s="1"/>
  <c r="AR170" i="1" s="1"/>
  <c r="AR171" i="1" s="1"/>
  <c r="AR172" i="1" s="1"/>
  <c r="AR173" i="1" s="1"/>
  <c r="AR174" i="1" s="1"/>
  <c r="AR175" i="1" s="1"/>
  <c r="AR176" i="1" s="1"/>
  <c r="AR177" i="1" s="1"/>
  <c r="AR178" i="1" s="1"/>
  <c r="AR179" i="1" s="1"/>
  <c r="AR180" i="1" s="1"/>
  <c r="AR181" i="1" s="1"/>
  <c r="AR182" i="1" s="1"/>
  <c r="AR183" i="1" s="1"/>
  <c r="AR184" i="1" s="1"/>
  <c r="AR185" i="1" s="1"/>
  <c r="AR186" i="1" s="1"/>
  <c r="AR187" i="1" s="1"/>
  <c r="AR188" i="1" s="1"/>
  <c r="AR189" i="1" s="1"/>
  <c r="AR190" i="1" s="1"/>
  <c r="AR191" i="1" s="1"/>
  <c r="AR192" i="1" s="1"/>
  <c r="AR193" i="1" s="1"/>
  <c r="AR194" i="1" s="1"/>
  <c r="AR195" i="1" s="1"/>
  <c r="AR196" i="1" s="1"/>
  <c r="AR197" i="1" s="1"/>
  <c r="AR198" i="1" s="1"/>
  <c r="AR199" i="1" s="1"/>
  <c r="AR200" i="1" s="1"/>
  <c r="AR201" i="1" s="1"/>
  <c r="AR202" i="1" s="1"/>
  <c r="AR203" i="1" s="1"/>
  <c r="AR204" i="1" s="1"/>
  <c r="AR205" i="1" s="1"/>
  <c r="AR206" i="1" s="1"/>
  <c r="AR207" i="1" s="1"/>
  <c r="AR208" i="1" s="1"/>
  <c r="AR209" i="1" s="1"/>
  <c r="AR210" i="1" s="1"/>
  <c r="AR211" i="1" s="1"/>
  <c r="AR212" i="1" s="1"/>
  <c r="AR213" i="1" s="1"/>
  <c r="AR214" i="1" s="1"/>
  <c r="AR215" i="1" s="1"/>
  <c r="AR216" i="1" s="1"/>
  <c r="AR217" i="1" s="1"/>
  <c r="AR218" i="1" s="1"/>
  <c r="AR219" i="1" s="1"/>
  <c r="AR220" i="1" s="1"/>
  <c r="AR221" i="1" s="1"/>
  <c r="AR222" i="1" s="1"/>
  <c r="AR223" i="1" s="1"/>
  <c r="AR224" i="1" s="1"/>
  <c r="AR225" i="1" s="1"/>
  <c r="AR226" i="1" s="1"/>
  <c r="AR227" i="1" s="1"/>
  <c r="AR228" i="1" s="1"/>
  <c r="AR229" i="1" s="1"/>
  <c r="AR230" i="1" s="1"/>
  <c r="AR231" i="1" s="1"/>
  <c r="AR232" i="1" s="1"/>
  <c r="AR233" i="1" s="1"/>
  <c r="AR234" i="1" s="1"/>
  <c r="AR235" i="1" s="1"/>
  <c r="AR236" i="1" s="1"/>
  <c r="AR237" i="1" s="1"/>
  <c r="AR238" i="1" s="1"/>
  <c r="AR239" i="1" s="1"/>
  <c r="AR240" i="1" s="1"/>
  <c r="AR241" i="1" s="1"/>
  <c r="AR242" i="1" s="1"/>
  <c r="AR243" i="1" s="1"/>
  <c r="AR244" i="1" s="1"/>
  <c r="AR245" i="1" s="1"/>
  <c r="AR246" i="1" s="1"/>
  <c r="AR247" i="1" s="1"/>
  <c r="AR248" i="1" s="1"/>
  <c r="AR249" i="1" s="1"/>
  <c r="AR250" i="1" s="1"/>
  <c r="AR251" i="1" s="1"/>
  <c r="AR252" i="1" s="1"/>
  <c r="AR253" i="1" s="1"/>
  <c r="AR254" i="1" s="1"/>
  <c r="AR255" i="1" s="1"/>
  <c r="AR256" i="1" s="1"/>
  <c r="AR257" i="1" s="1"/>
  <c r="AR258" i="1" s="1"/>
  <c r="AR259" i="1" s="1"/>
  <c r="AR260" i="1" s="1"/>
  <c r="AR261" i="1" s="1"/>
  <c r="AR262" i="1" s="1"/>
  <c r="AR263" i="1" s="1"/>
  <c r="AR264" i="1" s="1"/>
  <c r="AR265" i="1" s="1"/>
  <c r="AR266" i="1" s="1"/>
  <c r="AR267" i="1" s="1"/>
  <c r="AR268" i="1" s="1"/>
  <c r="AR269" i="1" s="1"/>
  <c r="AR270" i="1" s="1"/>
  <c r="AR271" i="1" s="1"/>
  <c r="AR272" i="1" s="1"/>
  <c r="AR273" i="1" s="1"/>
  <c r="AR274" i="1" s="1"/>
  <c r="AR275" i="1" s="1"/>
  <c r="AR276" i="1" s="1"/>
  <c r="AR277" i="1" s="1"/>
  <c r="AR278" i="1" s="1"/>
  <c r="AR279" i="1" s="1"/>
  <c r="AR280" i="1" s="1"/>
  <c r="AR281" i="1" s="1"/>
  <c r="AR282" i="1" s="1"/>
  <c r="AR283" i="1" s="1"/>
  <c r="AR284" i="1" s="1"/>
  <c r="AR285" i="1" s="1"/>
  <c r="AR286" i="1" s="1"/>
  <c r="AR287" i="1" s="1"/>
  <c r="AR288" i="1" s="1"/>
  <c r="AR289" i="1" s="1"/>
  <c r="AR290" i="1" s="1"/>
  <c r="AR291" i="1" s="1"/>
  <c r="AR292" i="1" s="1"/>
  <c r="AR293" i="1" s="1"/>
  <c r="AR294" i="1" s="1"/>
  <c r="AR295" i="1" s="1"/>
  <c r="AR296" i="1" s="1"/>
  <c r="AR297" i="1" s="1"/>
  <c r="AR298" i="1" s="1"/>
  <c r="AR299" i="1" s="1"/>
  <c r="AR300" i="1" s="1"/>
  <c r="AR301" i="1" s="1"/>
  <c r="AQ3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AQ4" i="1" l="1"/>
  <c r="CC3" i="1"/>
  <c r="BW2" i="1"/>
  <c r="CE2" i="1"/>
  <c r="CF2" i="1" s="1"/>
  <c r="BW7" i="1"/>
  <c r="R158" i="1"/>
  <c r="R38" i="1"/>
  <c r="R134" i="1"/>
  <c r="R230" i="1"/>
  <c r="R62" i="1"/>
  <c r="R86" i="1"/>
  <c r="R110" i="1"/>
  <c r="R182" i="1"/>
  <c r="R206" i="1"/>
  <c r="R26" i="1"/>
  <c r="R50" i="1"/>
  <c r="R74" i="1"/>
  <c r="R122" i="1"/>
  <c r="R146" i="1"/>
  <c r="R170" i="1"/>
  <c r="R218" i="1"/>
  <c r="R242" i="1"/>
  <c r="R266" i="1"/>
  <c r="R98" i="1"/>
  <c r="R194" i="1"/>
  <c r="R290" i="1"/>
  <c r="R254" i="1"/>
  <c r="R278" i="1"/>
  <c r="R2" i="1"/>
  <c r="R14" i="1"/>
  <c r="BU2" i="1"/>
  <c r="CA2" i="1" s="1"/>
  <c r="BU6" i="1"/>
  <c r="CA6" i="1" s="1"/>
  <c r="AM31" i="1"/>
  <c r="AM32" i="1" s="1"/>
  <c r="BU32" i="1" s="1"/>
  <c r="CA32" i="1" s="1"/>
  <c r="AQ5" i="1" l="1"/>
  <c r="CC4" i="1"/>
  <c r="CE4" i="1" s="1"/>
  <c r="CF4" i="1" s="1"/>
  <c r="CH2" i="1"/>
  <c r="BU31" i="1"/>
  <c r="CA31" i="1" s="1"/>
  <c r="BX2" i="1"/>
  <c r="BZ2" i="1" s="1"/>
  <c r="CE3" i="1"/>
  <c r="CF3" i="1" s="1"/>
  <c r="M5" i="21"/>
  <c r="L5" i="21"/>
  <c r="K5" i="21"/>
  <c r="J5" i="21"/>
  <c r="I5" i="21"/>
  <c r="H5" i="21"/>
  <c r="G5" i="21"/>
  <c r="F5" i="21"/>
  <c r="E5" i="21"/>
  <c r="M3" i="21"/>
  <c r="L3" i="21"/>
  <c r="K3" i="21"/>
  <c r="J3" i="21"/>
  <c r="I3" i="21"/>
  <c r="H3" i="21"/>
  <c r="G3" i="21"/>
  <c r="F3" i="21"/>
  <c r="E3" i="21"/>
  <c r="M4" i="21"/>
  <c r="L4" i="21"/>
  <c r="K4" i="21"/>
  <c r="J4" i="21"/>
  <c r="I4" i="21"/>
  <c r="H4" i="21"/>
  <c r="G4" i="21"/>
  <c r="F4" i="21"/>
  <c r="E4" i="21"/>
  <c r="AQ6" i="1" l="1"/>
  <c r="CC5" i="1"/>
  <c r="CE5" i="1" l="1"/>
  <c r="CF5" i="1" s="1"/>
  <c r="AQ7" i="1"/>
  <c r="CC6" i="1"/>
  <c r="CE6" i="1" s="1"/>
  <c r="CF6" i="1" s="1"/>
  <c r="AQ8" i="1" l="1"/>
  <c r="CC7" i="1"/>
  <c r="CE7" i="1" s="1"/>
  <c r="CF7" i="1" s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AQ9" i="1" l="1"/>
  <c r="CC8" i="1"/>
  <c r="H14" i="23"/>
  <c r="G14" i="23"/>
  <c r="H13" i="23"/>
  <c r="G13" i="23"/>
  <c r="H12" i="23"/>
  <c r="G12" i="23"/>
  <c r="H11" i="23"/>
  <c r="G11" i="23"/>
  <c r="H10" i="23"/>
  <c r="G10" i="23"/>
  <c r="H9" i="23"/>
  <c r="G9" i="23"/>
  <c r="H8" i="23"/>
  <c r="G8" i="23"/>
  <c r="H7" i="23"/>
  <c r="G7" i="23"/>
  <c r="H6" i="23"/>
  <c r="G6" i="23"/>
  <c r="H5" i="23"/>
  <c r="G5" i="23"/>
  <c r="H4" i="23"/>
  <c r="G4" i="23"/>
  <c r="H3" i="23"/>
  <c r="G3" i="23"/>
  <c r="H2" i="23"/>
  <c r="G2" i="23"/>
  <c r="CE8" i="1" l="1"/>
  <c r="CF8" i="1" s="1"/>
  <c r="AQ10" i="1"/>
  <c r="CC9" i="1"/>
  <c r="CE9" i="1" s="1"/>
  <c r="CF9" i="1" s="1"/>
  <c r="AQ11" i="1" l="1"/>
  <c r="CC10" i="1"/>
  <c r="CE10" i="1" s="1"/>
  <c r="AT23" i="1"/>
  <c r="AQ12" i="1" l="1"/>
  <c r="CC11" i="1"/>
  <c r="BE300" i="1"/>
  <c r="BE299" i="1"/>
  <c r="BE298" i="1"/>
  <c r="BE297" i="1"/>
  <c r="BE296" i="1"/>
  <c r="BE295" i="1"/>
  <c r="BE294" i="1"/>
  <c r="BE293" i="1"/>
  <c r="BE292" i="1"/>
  <c r="BE291" i="1"/>
  <c r="BE290" i="1"/>
  <c r="BE289" i="1"/>
  <c r="BE288" i="1"/>
  <c r="BE287" i="1"/>
  <c r="BE286" i="1"/>
  <c r="BE285" i="1"/>
  <c r="BE284" i="1"/>
  <c r="BE283" i="1"/>
  <c r="BE282" i="1"/>
  <c r="BE281" i="1"/>
  <c r="BE280" i="1"/>
  <c r="BE279" i="1"/>
  <c r="BE278" i="1"/>
  <c r="BE277" i="1"/>
  <c r="BE276" i="1"/>
  <c r="BE275" i="1"/>
  <c r="BE274" i="1"/>
  <c r="BE273" i="1"/>
  <c r="BE272" i="1"/>
  <c r="BE271" i="1"/>
  <c r="BE270" i="1"/>
  <c r="BE269" i="1"/>
  <c r="BE268" i="1"/>
  <c r="BE267" i="1"/>
  <c r="BE266" i="1"/>
  <c r="BE265" i="1"/>
  <c r="BE264" i="1"/>
  <c r="BE263" i="1"/>
  <c r="BE262" i="1"/>
  <c r="BE261" i="1"/>
  <c r="BE260" i="1"/>
  <c r="BE259" i="1"/>
  <c r="BE258" i="1"/>
  <c r="BE257" i="1"/>
  <c r="BE256" i="1"/>
  <c r="BE255" i="1"/>
  <c r="BE254" i="1"/>
  <c r="BE253" i="1"/>
  <c r="BE252" i="1"/>
  <c r="BE251" i="1"/>
  <c r="BE250" i="1"/>
  <c r="BE249" i="1"/>
  <c r="BE248" i="1"/>
  <c r="BE247" i="1"/>
  <c r="BE246" i="1"/>
  <c r="BE245" i="1"/>
  <c r="BE244" i="1"/>
  <c r="BE243" i="1"/>
  <c r="BE242" i="1"/>
  <c r="BE241" i="1"/>
  <c r="BE240" i="1"/>
  <c r="BE239" i="1"/>
  <c r="BE238" i="1"/>
  <c r="BE237" i="1"/>
  <c r="BE236" i="1"/>
  <c r="BE235" i="1"/>
  <c r="BE234" i="1"/>
  <c r="BE233" i="1"/>
  <c r="BE232" i="1"/>
  <c r="BE231" i="1"/>
  <c r="BE230" i="1"/>
  <c r="BE229" i="1"/>
  <c r="BE228" i="1"/>
  <c r="BE227" i="1"/>
  <c r="BE226" i="1"/>
  <c r="BE225" i="1"/>
  <c r="BE224" i="1"/>
  <c r="BE223" i="1"/>
  <c r="BE222" i="1"/>
  <c r="BE221" i="1"/>
  <c r="BE220" i="1"/>
  <c r="BE219" i="1"/>
  <c r="BE218" i="1"/>
  <c r="BE217" i="1"/>
  <c r="BE216" i="1"/>
  <c r="BE215" i="1"/>
  <c r="BE214" i="1"/>
  <c r="BE213" i="1"/>
  <c r="BE212" i="1"/>
  <c r="BE211" i="1"/>
  <c r="BE210" i="1"/>
  <c r="BE209" i="1"/>
  <c r="BE208" i="1"/>
  <c r="BE207" i="1"/>
  <c r="BE206" i="1"/>
  <c r="BE205" i="1"/>
  <c r="BE204" i="1"/>
  <c r="BE203" i="1"/>
  <c r="BE202" i="1"/>
  <c r="BE201" i="1"/>
  <c r="BE200" i="1"/>
  <c r="BE199" i="1"/>
  <c r="BE198" i="1"/>
  <c r="BE197" i="1"/>
  <c r="BE196" i="1"/>
  <c r="BE195" i="1"/>
  <c r="BE194" i="1"/>
  <c r="BE193" i="1"/>
  <c r="BE192" i="1"/>
  <c r="BE191" i="1"/>
  <c r="BE190" i="1"/>
  <c r="BE189" i="1"/>
  <c r="BE188" i="1"/>
  <c r="BE187" i="1"/>
  <c r="BE186" i="1"/>
  <c r="BE185" i="1"/>
  <c r="BE184" i="1"/>
  <c r="BE183" i="1"/>
  <c r="BE182" i="1"/>
  <c r="BE181" i="1"/>
  <c r="BE180" i="1"/>
  <c r="BE179" i="1"/>
  <c r="BE178" i="1"/>
  <c r="BE177" i="1"/>
  <c r="BE176" i="1"/>
  <c r="BE175" i="1"/>
  <c r="BE174" i="1"/>
  <c r="BE173" i="1"/>
  <c r="BE172" i="1"/>
  <c r="BE171" i="1"/>
  <c r="BE170" i="1"/>
  <c r="BE169" i="1"/>
  <c r="BE168" i="1"/>
  <c r="BE167" i="1"/>
  <c r="BE166" i="1"/>
  <c r="BE165" i="1"/>
  <c r="BE164" i="1"/>
  <c r="BE163" i="1"/>
  <c r="BE162" i="1"/>
  <c r="BE161" i="1"/>
  <c r="BE160" i="1"/>
  <c r="BE159" i="1"/>
  <c r="BE158" i="1"/>
  <c r="BE157" i="1"/>
  <c r="BE156" i="1"/>
  <c r="BE155" i="1"/>
  <c r="BE154" i="1"/>
  <c r="BE153" i="1"/>
  <c r="BE152" i="1"/>
  <c r="BE151" i="1"/>
  <c r="BE150" i="1"/>
  <c r="BE149" i="1"/>
  <c r="BE148" i="1"/>
  <c r="BE147" i="1"/>
  <c r="BE146" i="1"/>
  <c r="BE145" i="1"/>
  <c r="BE144" i="1"/>
  <c r="BE143" i="1"/>
  <c r="BE142" i="1"/>
  <c r="BE141" i="1"/>
  <c r="BE140" i="1"/>
  <c r="BE139" i="1"/>
  <c r="BE138" i="1"/>
  <c r="BE137" i="1"/>
  <c r="BE136" i="1"/>
  <c r="BE135" i="1"/>
  <c r="BE134" i="1"/>
  <c r="BE133" i="1"/>
  <c r="BE132" i="1"/>
  <c r="BE131" i="1"/>
  <c r="BE130" i="1"/>
  <c r="BE129" i="1"/>
  <c r="BE128" i="1"/>
  <c r="BE127" i="1"/>
  <c r="BE126" i="1"/>
  <c r="BE125" i="1"/>
  <c r="BE124" i="1"/>
  <c r="BE123" i="1"/>
  <c r="BE122" i="1"/>
  <c r="BE121" i="1"/>
  <c r="BE120" i="1"/>
  <c r="BE119" i="1"/>
  <c r="BE118" i="1"/>
  <c r="BE117" i="1"/>
  <c r="BE116" i="1"/>
  <c r="BE115" i="1"/>
  <c r="BE114" i="1"/>
  <c r="BE113" i="1"/>
  <c r="BE112" i="1"/>
  <c r="BE111" i="1"/>
  <c r="BE110" i="1"/>
  <c r="BE109" i="1"/>
  <c r="BE108" i="1"/>
  <c r="BE107" i="1"/>
  <c r="BE106" i="1"/>
  <c r="BE105" i="1"/>
  <c r="BE104" i="1"/>
  <c r="BE103" i="1"/>
  <c r="BE102" i="1"/>
  <c r="BE101" i="1"/>
  <c r="BE100" i="1"/>
  <c r="BE99" i="1"/>
  <c r="BE98" i="1"/>
  <c r="BE97" i="1"/>
  <c r="BE96" i="1"/>
  <c r="BE95" i="1"/>
  <c r="BE94" i="1"/>
  <c r="BE93" i="1"/>
  <c r="BE92" i="1"/>
  <c r="BE91" i="1"/>
  <c r="BE90" i="1"/>
  <c r="BE89" i="1"/>
  <c r="BE88" i="1"/>
  <c r="BE87" i="1"/>
  <c r="BE86" i="1"/>
  <c r="BE85" i="1"/>
  <c r="BE84" i="1"/>
  <c r="BE83" i="1"/>
  <c r="BE82" i="1"/>
  <c r="BE81" i="1"/>
  <c r="BE80" i="1"/>
  <c r="BE79" i="1"/>
  <c r="BE78" i="1"/>
  <c r="BE77" i="1"/>
  <c r="BE76" i="1"/>
  <c r="BE75" i="1"/>
  <c r="BE74" i="1"/>
  <c r="BE73" i="1"/>
  <c r="BE72" i="1"/>
  <c r="BE71" i="1"/>
  <c r="BE70" i="1"/>
  <c r="BE69" i="1"/>
  <c r="BE68" i="1"/>
  <c r="BE67" i="1"/>
  <c r="BE66" i="1"/>
  <c r="BE65" i="1"/>
  <c r="BE64" i="1"/>
  <c r="BE63" i="1"/>
  <c r="BE62" i="1"/>
  <c r="BE61" i="1"/>
  <c r="BE60" i="1"/>
  <c r="BE59" i="1"/>
  <c r="BE58" i="1"/>
  <c r="BE57" i="1"/>
  <c r="BE56" i="1"/>
  <c r="BE55" i="1"/>
  <c r="BE54" i="1"/>
  <c r="BE53" i="1"/>
  <c r="BE52" i="1"/>
  <c r="BE51" i="1"/>
  <c r="BE50" i="1"/>
  <c r="BE49" i="1"/>
  <c r="BE48" i="1"/>
  <c r="BE47" i="1"/>
  <c r="BE46" i="1"/>
  <c r="BE45" i="1"/>
  <c r="BE44" i="1"/>
  <c r="BE43" i="1"/>
  <c r="BE42" i="1"/>
  <c r="BE41" i="1"/>
  <c r="BE40" i="1"/>
  <c r="BE39" i="1"/>
  <c r="BE37" i="1"/>
  <c r="BE36" i="1"/>
  <c r="BE35" i="1"/>
  <c r="BE34" i="1"/>
  <c r="BE33" i="1"/>
  <c r="BE32" i="1"/>
  <c r="BE31" i="1"/>
  <c r="BE30" i="1"/>
  <c r="CE11" i="1" l="1"/>
  <c r="AQ13" i="1"/>
  <c r="CC12" i="1"/>
  <c r="CE12" i="1" s="1"/>
  <c r="AQ14" i="1" l="1"/>
  <c r="CC13" i="1"/>
  <c r="AM19" i="1"/>
  <c r="CE13" i="1" l="1"/>
  <c r="CD2" i="1"/>
  <c r="AQ15" i="1"/>
  <c r="CC14" i="1"/>
  <c r="AM20" i="1"/>
  <c r="BU20" i="1" s="1"/>
  <c r="BU19" i="1"/>
  <c r="D290" i="1"/>
  <c r="D278" i="1"/>
  <c r="D266" i="1"/>
  <c r="D254" i="1"/>
  <c r="D242" i="1"/>
  <c r="D230" i="1"/>
  <c r="D218" i="1"/>
  <c r="D206" i="1"/>
  <c r="D194" i="1"/>
  <c r="D182" i="1"/>
  <c r="D170" i="1"/>
  <c r="D158" i="1"/>
  <c r="D146" i="1"/>
  <c r="D134" i="1"/>
  <c r="D122" i="1"/>
  <c r="D110" i="1"/>
  <c r="D98" i="1"/>
  <c r="D86" i="1"/>
  <c r="D74" i="1"/>
  <c r="D62" i="1"/>
  <c r="D50" i="1"/>
  <c r="D38" i="1"/>
  <c r="D26" i="1"/>
  <c r="BD300" i="1"/>
  <c r="BD299" i="1"/>
  <c r="BD298" i="1"/>
  <c r="BD297" i="1"/>
  <c r="BD296" i="1"/>
  <c r="BD295" i="1"/>
  <c r="BD294" i="1"/>
  <c r="BD293" i="1"/>
  <c r="BD292" i="1"/>
  <c r="BD291" i="1"/>
  <c r="BD290" i="1"/>
  <c r="BD289" i="1"/>
  <c r="BD288" i="1"/>
  <c r="BD287" i="1"/>
  <c r="BD286" i="1"/>
  <c r="BD285" i="1"/>
  <c r="BD284" i="1"/>
  <c r="BD283" i="1"/>
  <c r="BD282" i="1"/>
  <c r="BD281" i="1"/>
  <c r="BD280" i="1"/>
  <c r="BD279" i="1"/>
  <c r="BD278" i="1"/>
  <c r="BD277" i="1"/>
  <c r="BD276" i="1"/>
  <c r="BD275" i="1"/>
  <c r="BD274" i="1"/>
  <c r="BD273" i="1"/>
  <c r="BD272" i="1"/>
  <c r="BD271" i="1"/>
  <c r="BD270" i="1"/>
  <c r="BD269" i="1"/>
  <c r="BD268" i="1"/>
  <c r="BD267" i="1"/>
  <c r="BD266" i="1"/>
  <c r="BD265" i="1"/>
  <c r="BD264" i="1"/>
  <c r="BD263" i="1"/>
  <c r="BD262" i="1"/>
  <c r="BD261" i="1"/>
  <c r="BD260" i="1"/>
  <c r="BD259" i="1"/>
  <c r="BD258" i="1"/>
  <c r="BD257" i="1"/>
  <c r="BD256" i="1"/>
  <c r="BD255" i="1"/>
  <c r="BD254" i="1"/>
  <c r="BD253" i="1"/>
  <c r="BD252" i="1"/>
  <c r="BD251" i="1"/>
  <c r="BD250" i="1"/>
  <c r="BD249" i="1"/>
  <c r="BD248" i="1"/>
  <c r="BD247" i="1"/>
  <c r="BD246" i="1"/>
  <c r="BD245" i="1"/>
  <c r="BD244" i="1"/>
  <c r="BD243" i="1"/>
  <c r="BD242" i="1"/>
  <c r="BD241" i="1"/>
  <c r="BD240" i="1"/>
  <c r="BD239" i="1"/>
  <c r="BD238" i="1"/>
  <c r="BD237" i="1"/>
  <c r="BD236" i="1"/>
  <c r="BD235" i="1"/>
  <c r="BD234" i="1"/>
  <c r="BD233" i="1"/>
  <c r="BD232" i="1"/>
  <c r="BD231" i="1"/>
  <c r="BD230" i="1"/>
  <c r="BD229" i="1"/>
  <c r="BD228" i="1"/>
  <c r="BD227" i="1"/>
  <c r="BD226" i="1"/>
  <c r="BD225" i="1"/>
  <c r="BD224" i="1"/>
  <c r="BD223" i="1"/>
  <c r="BD222" i="1"/>
  <c r="BD221" i="1"/>
  <c r="BD220" i="1"/>
  <c r="BD219" i="1"/>
  <c r="BD218" i="1"/>
  <c r="BD217" i="1"/>
  <c r="BD216" i="1"/>
  <c r="BD215" i="1"/>
  <c r="BD214" i="1"/>
  <c r="BD213" i="1"/>
  <c r="BD212" i="1"/>
  <c r="BD211" i="1"/>
  <c r="BD210" i="1"/>
  <c r="BD209" i="1"/>
  <c r="BD208" i="1"/>
  <c r="BD207" i="1"/>
  <c r="BD206" i="1"/>
  <c r="BD205" i="1"/>
  <c r="BD204" i="1"/>
  <c r="BD203" i="1"/>
  <c r="BD202" i="1"/>
  <c r="BD201" i="1"/>
  <c r="BD200" i="1"/>
  <c r="BD199" i="1"/>
  <c r="BD198" i="1"/>
  <c r="BD197" i="1"/>
  <c r="BD196" i="1"/>
  <c r="BD195" i="1"/>
  <c r="BD194" i="1"/>
  <c r="BD193" i="1"/>
  <c r="BD192" i="1"/>
  <c r="BD191" i="1"/>
  <c r="BD190" i="1"/>
  <c r="BD189" i="1"/>
  <c r="BD188" i="1"/>
  <c r="BD18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BD174" i="1"/>
  <c r="BD173" i="1"/>
  <c r="BD172" i="1"/>
  <c r="BD171" i="1"/>
  <c r="BD170" i="1"/>
  <c r="BD169" i="1"/>
  <c r="BD168" i="1"/>
  <c r="BD167" i="1"/>
  <c r="BD166" i="1"/>
  <c r="BD165" i="1"/>
  <c r="BD164" i="1"/>
  <c r="BD163" i="1"/>
  <c r="BD162" i="1"/>
  <c r="BD161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BD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D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D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D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E38" i="1" s="1"/>
  <c r="BD37" i="1"/>
  <c r="BD36" i="1"/>
  <c r="BD35" i="1"/>
  <c r="BD34" i="1"/>
  <c r="BD33" i="1"/>
  <c r="BD32" i="1"/>
  <c r="BD31" i="1"/>
  <c r="BD30" i="1"/>
  <c r="CE14" i="1" l="1"/>
  <c r="AQ16" i="1"/>
  <c r="CC15" i="1"/>
  <c r="CE15" i="1" s="1"/>
  <c r="CA19" i="1"/>
  <c r="CA20" i="1"/>
  <c r="F7" i="18"/>
  <c r="F6" i="18"/>
  <c r="F5" i="18"/>
  <c r="F4" i="18"/>
  <c r="F3" i="18"/>
  <c r="F2" i="18"/>
  <c r="AQ17" i="1" l="1"/>
  <c r="CC16" i="1"/>
  <c r="CE16" i="1" s="1"/>
  <c r="B13" i="23"/>
  <c r="B12" i="23"/>
  <c r="B11" i="23"/>
  <c r="B10" i="23"/>
  <c r="B9" i="23"/>
  <c r="B8" i="23"/>
  <c r="B7" i="23"/>
  <c r="B6" i="23"/>
  <c r="B5" i="23"/>
  <c r="B4" i="23"/>
  <c r="B3" i="23"/>
  <c r="B2" i="23"/>
  <c r="AQ18" i="1" l="1"/>
  <c r="CC17" i="1"/>
  <c r="CE17" i="1" s="1"/>
  <c r="AK20" i="1"/>
  <c r="AQ19" i="1" l="1"/>
  <c r="CC18" i="1"/>
  <c r="CE18" i="1" s="1"/>
  <c r="DR20" i="1"/>
  <c r="DR32" i="1" s="1"/>
  <c r="DR44" i="1" s="1"/>
  <c r="DR56" i="1" s="1"/>
  <c r="DR68" i="1" s="1"/>
  <c r="DR80" i="1" s="1"/>
  <c r="DR92" i="1" s="1"/>
  <c r="DR104" i="1" s="1"/>
  <c r="DR116" i="1" s="1"/>
  <c r="DR128" i="1" s="1"/>
  <c r="DR140" i="1" s="1"/>
  <c r="DR152" i="1" s="1"/>
  <c r="DR164" i="1" s="1"/>
  <c r="DR176" i="1" s="1"/>
  <c r="DR188" i="1" s="1"/>
  <c r="DR200" i="1" s="1"/>
  <c r="DR212" i="1" s="1"/>
  <c r="DR224" i="1" s="1"/>
  <c r="DR236" i="1" s="1"/>
  <c r="DR248" i="1" s="1"/>
  <c r="DR260" i="1" s="1"/>
  <c r="DR272" i="1" s="1"/>
  <c r="DR284" i="1" s="1"/>
  <c r="DR296" i="1" s="1"/>
  <c r="DR19" i="1"/>
  <c r="DR31" i="1" s="1"/>
  <c r="DR43" i="1" s="1"/>
  <c r="DR55" i="1" s="1"/>
  <c r="DR67" i="1" s="1"/>
  <c r="DR79" i="1" s="1"/>
  <c r="DR91" i="1" s="1"/>
  <c r="DR103" i="1" s="1"/>
  <c r="DR115" i="1" s="1"/>
  <c r="DR127" i="1" s="1"/>
  <c r="DR139" i="1" s="1"/>
  <c r="DR151" i="1" s="1"/>
  <c r="DR163" i="1" s="1"/>
  <c r="DR175" i="1" s="1"/>
  <c r="DR187" i="1" s="1"/>
  <c r="DR199" i="1" s="1"/>
  <c r="DR211" i="1" s="1"/>
  <c r="DR223" i="1" s="1"/>
  <c r="DR235" i="1" s="1"/>
  <c r="DR247" i="1" s="1"/>
  <c r="DR259" i="1" s="1"/>
  <c r="DR271" i="1" s="1"/>
  <c r="DR283" i="1" s="1"/>
  <c r="DR295" i="1" s="1"/>
  <c r="DR15" i="1"/>
  <c r="DR27" i="1" s="1"/>
  <c r="DR39" i="1" s="1"/>
  <c r="DR51" i="1" s="1"/>
  <c r="DR63" i="1" s="1"/>
  <c r="DR75" i="1" s="1"/>
  <c r="DR87" i="1" s="1"/>
  <c r="DR99" i="1" s="1"/>
  <c r="DR111" i="1" s="1"/>
  <c r="DR123" i="1" s="1"/>
  <c r="DR135" i="1" s="1"/>
  <c r="DR147" i="1" s="1"/>
  <c r="DR159" i="1" s="1"/>
  <c r="DR171" i="1" s="1"/>
  <c r="DR183" i="1" s="1"/>
  <c r="DR195" i="1" s="1"/>
  <c r="DR207" i="1" s="1"/>
  <c r="DR219" i="1" s="1"/>
  <c r="DR231" i="1" s="1"/>
  <c r="DR243" i="1" s="1"/>
  <c r="DR255" i="1" s="1"/>
  <c r="DR267" i="1" s="1"/>
  <c r="DR279" i="1" s="1"/>
  <c r="DR291" i="1" s="1"/>
  <c r="DR14" i="1"/>
  <c r="DR26" i="1" s="1"/>
  <c r="DR38" i="1" s="1"/>
  <c r="DR50" i="1" s="1"/>
  <c r="DR62" i="1" s="1"/>
  <c r="DR74" i="1" s="1"/>
  <c r="DR86" i="1" s="1"/>
  <c r="DR98" i="1" s="1"/>
  <c r="DR110" i="1" s="1"/>
  <c r="DR122" i="1" s="1"/>
  <c r="DR134" i="1" s="1"/>
  <c r="DR146" i="1" s="1"/>
  <c r="DR158" i="1" s="1"/>
  <c r="DR170" i="1" s="1"/>
  <c r="DR182" i="1" s="1"/>
  <c r="DR194" i="1" s="1"/>
  <c r="DR206" i="1" s="1"/>
  <c r="DR218" i="1" s="1"/>
  <c r="DR230" i="1" s="1"/>
  <c r="DR242" i="1" s="1"/>
  <c r="DR254" i="1" s="1"/>
  <c r="DR266" i="1" s="1"/>
  <c r="DR278" i="1" s="1"/>
  <c r="DR290" i="1" s="1"/>
  <c r="DR16" i="1"/>
  <c r="DR28" i="1" s="1"/>
  <c r="DR40" i="1" s="1"/>
  <c r="DR52" i="1" s="1"/>
  <c r="DR64" i="1" s="1"/>
  <c r="DR76" i="1" s="1"/>
  <c r="DR88" i="1" s="1"/>
  <c r="DR100" i="1" s="1"/>
  <c r="DR112" i="1" s="1"/>
  <c r="DR124" i="1" s="1"/>
  <c r="DR136" i="1" s="1"/>
  <c r="DR148" i="1" s="1"/>
  <c r="DR160" i="1" s="1"/>
  <c r="DR172" i="1" s="1"/>
  <c r="DR184" i="1" s="1"/>
  <c r="DR196" i="1" s="1"/>
  <c r="DR208" i="1" s="1"/>
  <c r="DR220" i="1" s="1"/>
  <c r="DR232" i="1" s="1"/>
  <c r="DR244" i="1" s="1"/>
  <c r="DR256" i="1" s="1"/>
  <c r="DR268" i="1" s="1"/>
  <c r="DR280" i="1" s="1"/>
  <c r="DR292" i="1" s="1"/>
  <c r="DR25" i="1"/>
  <c r="DR37" i="1" s="1"/>
  <c r="DR49" i="1" s="1"/>
  <c r="DR61" i="1" s="1"/>
  <c r="DR73" i="1" s="1"/>
  <c r="DR85" i="1" s="1"/>
  <c r="DR97" i="1" s="1"/>
  <c r="DR109" i="1" s="1"/>
  <c r="DR121" i="1" s="1"/>
  <c r="DR133" i="1" s="1"/>
  <c r="DR145" i="1" s="1"/>
  <c r="DR157" i="1" s="1"/>
  <c r="DR169" i="1" s="1"/>
  <c r="DR181" i="1" s="1"/>
  <c r="DR193" i="1" s="1"/>
  <c r="DR205" i="1" s="1"/>
  <c r="DR217" i="1" s="1"/>
  <c r="DR229" i="1" s="1"/>
  <c r="DR241" i="1" s="1"/>
  <c r="DR253" i="1" s="1"/>
  <c r="DR265" i="1" s="1"/>
  <c r="DR277" i="1" s="1"/>
  <c r="DR289" i="1" s="1"/>
  <c r="DR301" i="1" s="1"/>
  <c r="DR21" i="1"/>
  <c r="DR33" i="1" s="1"/>
  <c r="DR45" i="1" s="1"/>
  <c r="DR57" i="1" s="1"/>
  <c r="DR69" i="1" s="1"/>
  <c r="DR81" i="1" s="1"/>
  <c r="DR93" i="1" s="1"/>
  <c r="DR105" i="1" s="1"/>
  <c r="DR117" i="1" s="1"/>
  <c r="DR129" i="1" s="1"/>
  <c r="DR141" i="1" s="1"/>
  <c r="DR153" i="1" s="1"/>
  <c r="DR165" i="1" s="1"/>
  <c r="DR177" i="1" s="1"/>
  <c r="DR189" i="1" s="1"/>
  <c r="DR201" i="1" s="1"/>
  <c r="DR213" i="1" s="1"/>
  <c r="DR225" i="1" s="1"/>
  <c r="DR237" i="1" s="1"/>
  <c r="DR249" i="1" s="1"/>
  <c r="DR261" i="1" s="1"/>
  <c r="DR273" i="1" s="1"/>
  <c r="DR285" i="1" s="1"/>
  <c r="DR297" i="1" s="1"/>
  <c r="DR18" i="1"/>
  <c r="DR30" i="1" s="1"/>
  <c r="DR42" i="1" s="1"/>
  <c r="DR54" i="1" s="1"/>
  <c r="DR66" i="1" s="1"/>
  <c r="DR78" i="1" s="1"/>
  <c r="DR90" i="1" s="1"/>
  <c r="DR102" i="1" s="1"/>
  <c r="DR114" i="1" s="1"/>
  <c r="DR126" i="1" s="1"/>
  <c r="DR138" i="1" s="1"/>
  <c r="DR150" i="1" s="1"/>
  <c r="DR162" i="1" s="1"/>
  <c r="DR174" i="1" s="1"/>
  <c r="DR186" i="1" s="1"/>
  <c r="DR198" i="1" s="1"/>
  <c r="DR210" i="1" s="1"/>
  <c r="DR222" i="1" s="1"/>
  <c r="DR234" i="1" s="1"/>
  <c r="DR246" i="1" s="1"/>
  <c r="DR258" i="1" s="1"/>
  <c r="DR270" i="1" s="1"/>
  <c r="DR282" i="1" s="1"/>
  <c r="DR294" i="1" s="1"/>
  <c r="DR17" i="1"/>
  <c r="DR29" i="1" s="1"/>
  <c r="DR41" i="1" s="1"/>
  <c r="DR53" i="1" s="1"/>
  <c r="DR65" i="1" s="1"/>
  <c r="DR77" i="1" s="1"/>
  <c r="DR89" i="1" s="1"/>
  <c r="DR101" i="1" s="1"/>
  <c r="DR113" i="1" s="1"/>
  <c r="DR125" i="1" s="1"/>
  <c r="DR137" i="1" s="1"/>
  <c r="DR149" i="1" s="1"/>
  <c r="DR161" i="1" s="1"/>
  <c r="DR173" i="1" s="1"/>
  <c r="DR185" i="1" s="1"/>
  <c r="DR197" i="1" s="1"/>
  <c r="DR209" i="1" s="1"/>
  <c r="DR221" i="1" s="1"/>
  <c r="DR233" i="1" s="1"/>
  <c r="DR245" i="1" s="1"/>
  <c r="DR257" i="1" s="1"/>
  <c r="DR269" i="1" s="1"/>
  <c r="DR281" i="1" s="1"/>
  <c r="DR293" i="1" s="1"/>
  <c r="CC19" i="1" l="1"/>
  <c r="AQ20" i="1"/>
  <c r="AI13" i="1"/>
  <c r="AI14" i="1" s="1"/>
  <c r="AI15" i="1" s="1"/>
  <c r="AI16" i="1" s="1"/>
  <c r="AI17" i="1" s="1"/>
  <c r="AI18" i="1" s="1"/>
  <c r="AI19" i="1" s="1"/>
  <c r="AI21" i="1" s="1"/>
  <c r="AI22" i="1" s="1"/>
  <c r="AI5" i="1"/>
  <c r="AI6" i="1" s="1"/>
  <c r="AI7" i="1" s="1"/>
  <c r="AI8" i="1" s="1"/>
  <c r="AI9" i="1" s="1"/>
  <c r="AI10" i="1" s="1"/>
  <c r="AI11" i="1" s="1"/>
  <c r="AI3" i="1"/>
  <c r="CC20" i="1" l="1"/>
  <c r="CE20" i="1" s="1"/>
  <c r="CF20" i="1" s="1"/>
  <c r="AQ21" i="1"/>
  <c r="CE19" i="1"/>
  <c r="CF19" i="1" s="1"/>
  <c r="AI23" i="1"/>
  <c r="AI24" i="1" s="1"/>
  <c r="AI25" i="1" s="1"/>
  <c r="AI26" i="1" s="1"/>
  <c r="AI27" i="1" s="1"/>
  <c r="AI28" i="1" s="1"/>
  <c r="AI29" i="1" s="1"/>
  <c r="AI30" i="1" s="1"/>
  <c r="AI31" i="1" s="1"/>
  <c r="AI32" i="1" s="1"/>
  <c r="AI33" i="1" s="1"/>
  <c r="AI34" i="1" s="1"/>
  <c r="AI35" i="1" s="1"/>
  <c r="AI36" i="1" s="1"/>
  <c r="AI37" i="1" s="1"/>
  <c r="AI38" i="1" s="1"/>
  <c r="AI39" i="1" s="1"/>
  <c r="AI40" i="1" s="1"/>
  <c r="AI41" i="1" s="1"/>
  <c r="AI42" i="1" s="1"/>
  <c r="AI43" i="1" s="1"/>
  <c r="AI44" i="1" s="1"/>
  <c r="AI45" i="1" s="1"/>
  <c r="AI46" i="1" s="1"/>
  <c r="AI47" i="1" s="1"/>
  <c r="AI48" i="1" s="1"/>
  <c r="AI49" i="1" s="1"/>
  <c r="AI50" i="1" s="1"/>
  <c r="AI51" i="1" s="1"/>
  <c r="AI52" i="1" s="1"/>
  <c r="AI53" i="1" s="1"/>
  <c r="AI54" i="1" s="1"/>
  <c r="AI55" i="1" s="1"/>
  <c r="AI56" i="1" s="1"/>
  <c r="AI57" i="1" s="1"/>
  <c r="AI58" i="1" s="1"/>
  <c r="AI59" i="1" s="1"/>
  <c r="AI60" i="1" s="1"/>
  <c r="AI61" i="1" s="1"/>
  <c r="AI62" i="1" s="1"/>
  <c r="AI63" i="1" s="1"/>
  <c r="AI64" i="1" s="1"/>
  <c r="AI65" i="1" s="1"/>
  <c r="AI66" i="1" s="1"/>
  <c r="AI67" i="1" s="1"/>
  <c r="AI68" i="1" s="1"/>
  <c r="AI69" i="1" s="1"/>
  <c r="AI70" i="1" s="1"/>
  <c r="AI71" i="1" s="1"/>
  <c r="AI72" i="1" s="1"/>
  <c r="AI73" i="1" s="1"/>
  <c r="AI74" i="1" s="1"/>
  <c r="AI75" i="1" s="1"/>
  <c r="AI76" i="1" s="1"/>
  <c r="AI77" i="1" s="1"/>
  <c r="AI78" i="1" s="1"/>
  <c r="AI79" i="1" s="1"/>
  <c r="AI80" i="1" s="1"/>
  <c r="AI81" i="1" s="1"/>
  <c r="AI82" i="1" s="1"/>
  <c r="AI83" i="1" s="1"/>
  <c r="AI84" i="1" s="1"/>
  <c r="AI85" i="1" s="1"/>
  <c r="AI86" i="1" s="1"/>
  <c r="AI87" i="1" s="1"/>
  <c r="AI88" i="1" s="1"/>
  <c r="AI89" i="1" s="1"/>
  <c r="AI90" i="1" s="1"/>
  <c r="AI91" i="1" s="1"/>
  <c r="AI92" i="1" s="1"/>
  <c r="AI93" i="1" s="1"/>
  <c r="AI94" i="1" s="1"/>
  <c r="AI95" i="1" s="1"/>
  <c r="AI96" i="1" s="1"/>
  <c r="AI97" i="1" s="1"/>
  <c r="AI98" i="1" s="1"/>
  <c r="AI99" i="1" s="1"/>
  <c r="AI100" i="1" s="1"/>
  <c r="AI101" i="1" s="1"/>
  <c r="AI102" i="1" s="1"/>
  <c r="AI103" i="1" s="1"/>
  <c r="AI104" i="1" s="1"/>
  <c r="AI105" i="1" s="1"/>
  <c r="AI106" i="1" s="1"/>
  <c r="AI107" i="1" s="1"/>
  <c r="AI108" i="1" s="1"/>
  <c r="AI109" i="1" s="1"/>
  <c r="AI110" i="1" s="1"/>
  <c r="AI111" i="1" s="1"/>
  <c r="AI112" i="1" s="1"/>
  <c r="AI113" i="1" s="1"/>
  <c r="AI114" i="1" s="1"/>
  <c r="AI115" i="1" s="1"/>
  <c r="AI116" i="1" s="1"/>
  <c r="AI117" i="1" s="1"/>
  <c r="AI118" i="1" s="1"/>
  <c r="AI119" i="1" s="1"/>
  <c r="AI120" i="1" s="1"/>
  <c r="AI121" i="1" s="1"/>
  <c r="AI122" i="1" s="1"/>
  <c r="AI123" i="1" s="1"/>
  <c r="AI124" i="1" s="1"/>
  <c r="AI125" i="1" s="1"/>
  <c r="AI126" i="1" s="1"/>
  <c r="AI127" i="1" s="1"/>
  <c r="AI128" i="1" s="1"/>
  <c r="AI129" i="1" s="1"/>
  <c r="AI130" i="1" s="1"/>
  <c r="AI131" i="1" s="1"/>
  <c r="AI132" i="1" s="1"/>
  <c r="AI133" i="1" s="1"/>
  <c r="AI134" i="1" s="1"/>
  <c r="AI135" i="1" s="1"/>
  <c r="AI136" i="1" s="1"/>
  <c r="AI137" i="1" s="1"/>
  <c r="AI138" i="1" s="1"/>
  <c r="AI139" i="1" s="1"/>
  <c r="AI140" i="1" s="1"/>
  <c r="AI141" i="1" s="1"/>
  <c r="AI142" i="1" s="1"/>
  <c r="AI143" i="1" s="1"/>
  <c r="AI144" i="1" s="1"/>
  <c r="AI145" i="1" s="1"/>
  <c r="AI146" i="1" s="1"/>
  <c r="AI147" i="1" s="1"/>
  <c r="AI148" i="1" s="1"/>
  <c r="AI149" i="1" s="1"/>
  <c r="AI150" i="1" s="1"/>
  <c r="AI151" i="1" s="1"/>
  <c r="AI152" i="1" s="1"/>
  <c r="AI153" i="1" s="1"/>
  <c r="AI154" i="1" s="1"/>
  <c r="AI155" i="1" s="1"/>
  <c r="AI156" i="1" s="1"/>
  <c r="AI157" i="1" s="1"/>
  <c r="AI158" i="1" s="1"/>
  <c r="AI159" i="1" s="1"/>
  <c r="AI160" i="1" s="1"/>
  <c r="AI161" i="1" s="1"/>
  <c r="AI162" i="1" s="1"/>
  <c r="AI163" i="1" s="1"/>
  <c r="AI164" i="1" s="1"/>
  <c r="AI165" i="1" s="1"/>
  <c r="AI166" i="1" s="1"/>
  <c r="AI167" i="1" s="1"/>
  <c r="AI168" i="1" s="1"/>
  <c r="AI169" i="1" s="1"/>
  <c r="AI170" i="1" s="1"/>
  <c r="AI171" i="1" s="1"/>
  <c r="AI172" i="1" s="1"/>
  <c r="AI173" i="1" s="1"/>
  <c r="AI174" i="1" s="1"/>
  <c r="AI175" i="1" s="1"/>
  <c r="AI176" i="1" s="1"/>
  <c r="AI177" i="1" s="1"/>
  <c r="AI178" i="1" s="1"/>
  <c r="AI179" i="1" s="1"/>
  <c r="AI180" i="1" s="1"/>
  <c r="AI181" i="1" s="1"/>
  <c r="AI182" i="1" s="1"/>
  <c r="AI183" i="1" s="1"/>
  <c r="AI184" i="1" s="1"/>
  <c r="AI185" i="1" s="1"/>
  <c r="AI186" i="1" s="1"/>
  <c r="AI187" i="1" s="1"/>
  <c r="AI188" i="1" s="1"/>
  <c r="AI189" i="1" s="1"/>
  <c r="AI190" i="1" s="1"/>
  <c r="AI191" i="1" s="1"/>
  <c r="AI192" i="1" s="1"/>
  <c r="AI193" i="1" s="1"/>
  <c r="AI194" i="1" s="1"/>
  <c r="AI195" i="1" s="1"/>
  <c r="AI196" i="1" s="1"/>
  <c r="AI197" i="1" s="1"/>
  <c r="AI198" i="1" s="1"/>
  <c r="AI199" i="1" s="1"/>
  <c r="AI200" i="1" s="1"/>
  <c r="AI201" i="1" s="1"/>
  <c r="AI202" i="1" s="1"/>
  <c r="AI203" i="1" s="1"/>
  <c r="AI204" i="1" s="1"/>
  <c r="AI205" i="1" s="1"/>
  <c r="AI206" i="1" s="1"/>
  <c r="AI207" i="1" s="1"/>
  <c r="AI208" i="1" s="1"/>
  <c r="AI209" i="1" s="1"/>
  <c r="AI210" i="1" s="1"/>
  <c r="AI211" i="1" s="1"/>
  <c r="AI212" i="1" s="1"/>
  <c r="AI213" i="1" s="1"/>
  <c r="AI214" i="1" s="1"/>
  <c r="AI215" i="1" s="1"/>
  <c r="AI216" i="1" s="1"/>
  <c r="AI217" i="1" s="1"/>
  <c r="AI218" i="1" s="1"/>
  <c r="AI219" i="1" s="1"/>
  <c r="AI220" i="1" s="1"/>
  <c r="AI221" i="1" s="1"/>
  <c r="AI222" i="1" s="1"/>
  <c r="AI223" i="1" s="1"/>
  <c r="AI224" i="1" s="1"/>
  <c r="AI225" i="1" s="1"/>
  <c r="AI226" i="1" s="1"/>
  <c r="AI227" i="1" s="1"/>
  <c r="AI228" i="1" s="1"/>
  <c r="AI229" i="1" s="1"/>
  <c r="AI230" i="1" s="1"/>
  <c r="AI231" i="1" s="1"/>
  <c r="AI232" i="1" s="1"/>
  <c r="AI233" i="1" s="1"/>
  <c r="AI234" i="1" s="1"/>
  <c r="AI235" i="1" s="1"/>
  <c r="AI236" i="1" s="1"/>
  <c r="AI237" i="1" s="1"/>
  <c r="AI238" i="1" s="1"/>
  <c r="AI239" i="1" s="1"/>
  <c r="AI240" i="1" s="1"/>
  <c r="AI241" i="1" s="1"/>
  <c r="AI242" i="1" s="1"/>
  <c r="AI243" i="1" s="1"/>
  <c r="AI244" i="1" s="1"/>
  <c r="AI245" i="1" s="1"/>
  <c r="AI246" i="1" s="1"/>
  <c r="AI247" i="1" s="1"/>
  <c r="AI248" i="1" s="1"/>
  <c r="AI249" i="1" s="1"/>
  <c r="AI250" i="1" s="1"/>
  <c r="AI251" i="1" s="1"/>
  <c r="AI252" i="1" s="1"/>
  <c r="AI253" i="1" s="1"/>
  <c r="AI254" i="1" s="1"/>
  <c r="AI255" i="1" s="1"/>
  <c r="AI256" i="1" s="1"/>
  <c r="AI257" i="1" s="1"/>
  <c r="AI258" i="1" s="1"/>
  <c r="AI259" i="1" s="1"/>
  <c r="AI260" i="1" s="1"/>
  <c r="AI261" i="1" s="1"/>
  <c r="AI262" i="1" s="1"/>
  <c r="AI263" i="1" s="1"/>
  <c r="AI264" i="1" s="1"/>
  <c r="AI265" i="1" s="1"/>
  <c r="AI266" i="1" s="1"/>
  <c r="AI267" i="1" s="1"/>
  <c r="AI268" i="1" s="1"/>
  <c r="AI269" i="1" s="1"/>
  <c r="AI270" i="1" s="1"/>
  <c r="AI271" i="1" s="1"/>
  <c r="AI272" i="1" s="1"/>
  <c r="AI273" i="1" s="1"/>
  <c r="AI274" i="1" s="1"/>
  <c r="AI275" i="1" s="1"/>
  <c r="AI276" i="1" s="1"/>
  <c r="AI277" i="1" s="1"/>
  <c r="AI278" i="1" s="1"/>
  <c r="AI279" i="1" s="1"/>
  <c r="AI280" i="1" s="1"/>
  <c r="AI281" i="1" s="1"/>
  <c r="AI282" i="1" s="1"/>
  <c r="AI283" i="1" s="1"/>
  <c r="AI284" i="1" s="1"/>
  <c r="AI285" i="1" s="1"/>
  <c r="AI286" i="1" s="1"/>
  <c r="AI287" i="1" s="1"/>
  <c r="AI288" i="1" s="1"/>
  <c r="AI289" i="1" s="1"/>
  <c r="AI290" i="1" s="1"/>
  <c r="AI291" i="1" s="1"/>
  <c r="AI292" i="1" s="1"/>
  <c r="AI293" i="1" s="1"/>
  <c r="AI294" i="1" s="1"/>
  <c r="AI295" i="1" s="1"/>
  <c r="AI296" i="1" s="1"/>
  <c r="AI297" i="1" s="1"/>
  <c r="AI298" i="1" s="1"/>
  <c r="AI299" i="1" s="1"/>
  <c r="AI300" i="1" s="1"/>
  <c r="AI301" i="1" s="1"/>
  <c r="AT232" i="1"/>
  <c r="AT233" i="1" s="1"/>
  <c r="AT234" i="1" s="1"/>
  <c r="AT235" i="1" s="1"/>
  <c r="AT236" i="1" s="1"/>
  <c r="AT237" i="1" s="1"/>
  <c r="AT238" i="1" s="1"/>
  <c r="AT239" i="1" s="1"/>
  <c r="AT240" i="1" s="1"/>
  <c r="AT241" i="1" s="1"/>
  <c r="AT242" i="1" s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CJ2" i="1"/>
  <c r="X290" i="1"/>
  <c r="X278" i="1"/>
  <c r="X266" i="1"/>
  <c r="X254" i="1"/>
  <c r="X242" i="1"/>
  <c r="X230" i="1"/>
  <c r="X218" i="1"/>
  <c r="X206" i="1"/>
  <c r="X194" i="1"/>
  <c r="X182" i="1"/>
  <c r="X170" i="1"/>
  <c r="X158" i="1"/>
  <c r="X146" i="1"/>
  <c r="X134" i="1"/>
  <c r="X122" i="1"/>
  <c r="X110" i="1"/>
  <c r="X98" i="1"/>
  <c r="X86" i="1"/>
  <c r="X74" i="1"/>
  <c r="X62" i="1"/>
  <c r="X50" i="1"/>
  <c r="X38" i="1"/>
  <c r="X26" i="1"/>
  <c r="X14" i="1"/>
  <c r="X2" i="1"/>
  <c r="CC21" i="1" l="1"/>
  <c r="CE21" i="1" s="1"/>
  <c r="AQ22" i="1"/>
  <c r="AT243" i="1"/>
  <c r="M13" i="23"/>
  <c r="M12" i="23"/>
  <c r="M11" i="23"/>
  <c r="M10" i="23"/>
  <c r="M9" i="23"/>
  <c r="M8" i="23"/>
  <c r="M7" i="23"/>
  <c r="M6" i="23"/>
  <c r="M5" i="23"/>
  <c r="M4" i="23"/>
  <c r="M3" i="23"/>
  <c r="M2" i="23"/>
  <c r="L14" i="23"/>
  <c r="CC22" i="1" l="1"/>
  <c r="CE22" i="1" s="1"/>
  <c r="AQ23" i="1"/>
  <c r="AT244" i="1"/>
  <c r="AT245" i="1" s="1"/>
  <c r="AT246" i="1" s="1"/>
  <c r="AT247" i="1" s="1"/>
  <c r="AT248" i="1" s="1"/>
  <c r="AT249" i="1" s="1"/>
  <c r="AT250" i="1" s="1"/>
  <c r="AT251" i="1" s="1"/>
  <c r="AT252" i="1" s="1"/>
  <c r="AT253" i="1" s="1"/>
  <c r="AT254" i="1" s="1"/>
  <c r="Y3" i="1"/>
  <c r="Y2" i="1"/>
  <c r="CU301" i="1"/>
  <c r="AW301" i="1"/>
  <c r="AG301" i="1"/>
  <c r="AE301" i="1"/>
  <c r="Y301" i="1"/>
  <c r="CU300" i="1"/>
  <c r="AW300" i="1"/>
  <c r="AG300" i="1"/>
  <c r="AE300" i="1"/>
  <c r="Y300" i="1"/>
  <c r="CU299" i="1"/>
  <c r="AW299" i="1"/>
  <c r="AG299" i="1"/>
  <c r="AE299" i="1"/>
  <c r="Y299" i="1"/>
  <c r="CU298" i="1"/>
  <c r="AW298" i="1"/>
  <c r="AG298" i="1"/>
  <c r="AE298" i="1"/>
  <c r="Y298" i="1"/>
  <c r="CU297" i="1"/>
  <c r="AW297" i="1"/>
  <c r="AG297" i="1"/>
  <c r="AE297" i="1"/>
  <c r="Y297" i="1"/>
  <c r="CU296" i="1"/>
  <c r="AW296" i="1"/>
  <c r="AG296" i="1"/>
  <c r="AE296" i="1"/>
  <c r="Y296" i="1"/>
  <c r="CU295" i="1"/>
  <c r="AW295" i="1"/>
  <c r="AG295" i="1"/>
  <c r="AE295" i="1"/>
  <c r="Y295" i="1"/>
  <c r="CU294" i="1"/>
  <c r="AW294" i="1"/>
  <c r="AG294" i="1"/>
  <c r="AE294" i="1"/>
  <c r="Y294" i="1"/>
  <c r="CU293" i="1"/>
  <c r="AW293" i="1"/>
  <c r="AG293" i="1"/>
  <c r="AE293" i="1"/>
  <c r="Y293" i="1"/>
  <c r="CU292" i="1"/>
  <c r="AW292" i="1"/>
  <c r="AG292" i="1"/>
  <c r="AE292" i="1"/>
  <c r="Y292" i="1"/>
  <c r="CU291" i="1"/>
  <c r="AW291" i="1"/>
  <c r="AG291" i="1"/>
  <c r="AE291" i="1"/>
  <c r="Y291" i="1"/>
  <c r="DP290" i="1"/>
  <c r="DP291" i="1" s="1"/>
  <c r="DP292" i="1" s="1"/>
  <c r="DP293" i="1" s="1"/>
  <c r="DP294" i="1" s="1"/>
  <c r="DP295" i="1" s="1"/>
  <c r="DP296" i="1" s="1"/>
  <c r="DP297" i="1" s="1"/>
  <c r="DP298" i="1" s="1"/>
  <c r="DP299" i="1" s="1"/>
  <c r="DP300" i="1" s="1"/>
  <c r="DP301" i="1" s="1"/>
  <c r="DM290" i="1"/>
  <c r="DM291" i="1" s="1"/>
  <c r="DM292" i="1" s="1"/>
  <c r="DM293" i="1" s="1"/>
  <c r="DM294" i="1" s="1"/>
  <c r="DM295" i="1" s="1"/>
  <c r="DM296" i="1" s="1"/>
  <c r="DM297" i="1" s="1"/>
  <c r="DM298" i="1" s="1"/>
  <c r="DM299" i="1" s="1"/>
  <c r="DM300" i="1" s="1"/>
  <c r="DM301" i="1" s="1"/>
  <c r="AW290" i="1"/>
  <c r="AG290" i="1"/>
  <c r="AE290" i="1"/>
  <c r="AD290" i="1"/>
  <c r="AB290" i="1"/>
  <c r="V290" i="1"/>
  <c r="T290" i="1"/>
  <c r="L290" i="1"/>
  <c r="J290" i="1"/>
  <c r="H290" i="1"/>
  <c r="F290" i="1"/>
  <c r="CU289" i="1"/>
  <c r="AW289" i="1"/>
  <c r="AG289" i="1"/>
  <c r="AE289" i="1"/>
  <c r="Y289" i="1"/>
  <c r="CU288" i="1"/>
  <c r="AW288" i="1"/>
  <c r="AG288" i="1"/>
  <c r="AE288" i="1"/>
  <c r="Y288" i="1"/>
  <c r="CU287" i="1"/>
  <c r="AW287" i="1"/>
  <c r="AG287" i="1"/>
  <c r="AE287" i="1"/>
  <c r="Y287" i="1"/>
  <c r="CU286" i="1"/>
  <c r="AW286" i="1"/>
  <c r="AG286" i="1"/>
  <c r="AE286" i="1"/>
  <c r="Y286" i="1"/>
  <c r="CU285" i="1"/>
  <c r="AW285" i="1"/>
  <c r="AG285" i="1"/>
  <c r="AE285" i="1"/>
  <c r="Y285" i="1"/>
  <c r="CU284" i="1"/>
  <c r="AW284" i="1"/>
  <c r="AG284" i="1"/>
  <c r="AE284" i="1"/>
  <c r="Y284" i="1"/>
  <c r="CU283" i="1"/>
  <c r="AW283" i="1"/>
  <c r="AG283" i="1"/>
  <c r="AE283" i="1"/>
  <c r="Y283" i="1"/>
  <c r="CU282" i="1"/>
  <c r="AW282" i="1"/>
  <c r="AG282" i="1"/>
  <c r="AE282" i="1"/>
  <c r="Y282" i="1"/>
  <c r="CU281" i="1"/>
  <c r="AW281" i="1"/>
  <c r="AG281" i="1"/>
  <c r="AE281" i="1"/>
  <c r="Y281" i="1"/>
  <c r="CU280" i="1"/>
  <c r="AW280" i="1"/>
  <c r="AG280" i="1"/>
  <c r="AE280" i="1"/>
  <c r="Y280" i="1"/>
  <c r="CU279" i="1"/>
  <c r="AW279" i="1"/>
  <c r="AG279" i="1"/>
  <c r="AE279" i="1"/>
  <c r="Y279" i="1"/>
  <c r="DP278" i="1"/>
  <c r="DP279" i="1" s="1"/>
  <c r="DP280" i="1" s="1"/>
  <c r="DP281" i="1" s="1"/>
  <c r="DP282" i="1" s="1"/>
  <c r="DP283" i="1" s="1"/>
  <c r="DP284" i="1" s="1"/>
  <c r="DP285" i="1" s="1"/>
  <c r="DP286" i="1" s="1"/>
  <c r="DP287" i="1" s="1"/>
  <c r="DP288" i="1" s="1"/>
  <c r="DP289" i="1" s="1"/>
  <c r="DM278" i="1"/>
  <c r="DM279" i="1" s="1"/>
  <c r="DM280" i="1" s="1"/>
  <c r="DM281" i="1" s="1"/>
  <c r="DM282" i="1" s="1"/>
  <c r="DM283" i="1" s="1"/>
  <c r="DM284" i="1" s="1"/>
  <c r="DM285" i="1" s="1"/>
  <c r="DM286" i="1" s="1"/>
  <c r="DM287" i="1" s="1"/>
  <c r="DM288" i="1" s="1"/>
  <c r="DM289" i="1" s="1"/>
  <c r="AW278" i="1"/>
  <c r="AG278" i="1"/>
  <c r="AE278" i="1"/>
  <c r="AD278" i="1"/>
  <c r="AB278" i="1"/>
  <c r="V278" i="1"/>
  <c r="T278" i="1"/>
  <c r="Y278" i="1"/>
  <c r="L278" i="1"/>
  <c r="J278" i="1"/>
  <c r="H278" i="1"/>
  <c r="F278" i="1"/>
  <c r="CU277" i="1"/>
  <c r="AW277" i="1"/>
  <c r="AG277" i="1"/>
  <c r="AE277" i="1"/>
  <c r="Y277" i="1"/>
  <c r="CU276" i="1"/>
  <c r="AW276" i="1"/>
  <c r="AG276" i="1"/>
  <c r="AE276" i="1"/>
  <c r="Y276" i="1"/>
  <c r="CU275" i="1"/>
  <c r="AW275" i="1"/>
  <c r="AG275" i="1"/>
  <c r="AE275" i="1"/>
  <c r="Y275" i="1"/>
  <c r="CU274" i="1"/>
  <c r="AW274" i="1"/>
  <c r="AG274" i="1"/>
  <c r="AE274" i="1"/>
  <c r="Y274" i="1"/>
  <c r="CU273" i="1"/>
  <c r="AW273" i="1"/>
  <c r="AG273" i="1"/>
  <c r="AE273" i="1"/>
  <c r="Y273" i="1"/>
  <c r="CU272" i="1"/>
  <c r="AW272" i="1"/>
  <c r="AG272" i="1"/>
  <c r="AE272" i="1"/>
  <c r="Y272" i="1"/>
  <c r="CU271" i="1"/>
  <c r="AW271" i="1"/>
  <c r="AG271" i="1"/>
  <c r="AE271" i="1"/>
  <c r="Y271" i="1"/>
  <c r="CU270" i="1"/>
  <c r="AW270" i="1"/>
  <c r="AG270" i="1"/>
  <c r="AE270" i="1"/>
  <c r="Y270" i="1"/>
  <c r="CU269" i="1"/>
  <c r="AW269" i="1"/>
  <c r="AG269" i="1"/>
  <c r="AE269" i="1"/>
  <c r="Y269" i="1"/>
  <c r="CU268" i="1"/>
  <c r="AW268" i="1"/>
  <c r="AG268" i="1"/>
  <c r="AE268" i="1"/>
  <c r="Y268" i="1"/>
  <c r="CU267" i="1"/>
  <c r="AW267" i="1"/>
  <c r="AG267" i="1"/>
  <c r="AE267" i="1"/>
  <c r="Y267" i="1"/>
  <c r="DP266" i="1"/>
  <c r="DP267" i="1" s="1"/>
  <c r="DP268" i="1" s="1"/>
  <c r="DP269" i="1" s="1"/>
  <c r="DP270" i="1" s="1"/>
  <c r="DP271" i="1" s="1"/>
  <c r="DP272" i="1" s="1"/>
  <c r="DP273" i="1" s="1"/>
  <c r="DP274" i="1" s="1"/>
  <c r="DP275" i="1" s="1"/>
  <c r="DP276" i="1" s="1"/>
  <c r="DP277" i="1" s="1"/>
  <c r="DM266" i="1"/>
  <c r="DM267" i="1" s="1"/>
  <c r="DM268" i="1" s="1"/>
  <c r="DM269" i="1" s="1"/>
  <c r="DM270" i="1" s="1"/>
  <c r="DM271" i="1" s="1"/>
  <c r="DM272" i="1" s="1"/>
  <c r="DM273" i="1" s="1"/>
  <c r="DM274" i="1" s="1"/>
  <c r="DM275" i="1" s="1"/>
  <c r="DM276" i="1" s="1"/>
  <c r="DM277" i="1" s="1"/>
  <c r="AW266" i="1"/>
  <c r="AG266" i="1"/>
  <c r="AE266" i="1"/>
  <c r="AD266" i="1"/>
  <c r="AB266" i="1"/>
  <c r="V266" i="1"/>
  <c r="T266" i="1"/>
  <c r="Y266" i="1"/>
  <c r="L266" i="1"/>
  <c r="J266" i="1"/>
  <c r="H266" i="1"/>
  <c r="F266" i="1"/>
  <c r="CU265" i="1"/>
  <c r="AW265" i="1"/>
  <c r="AG265" i="1"/>
  <c r="AE265" i="1"/>
  <c r="Y265" i="1"/>
  <c r="CU264" i="1"/>
  <c r="AW264" i="1"/>
  <c r="AG264" i="1"/>
  <c r="AE264" i="1"/>
  <c r="Y264" i="1"/>
  <c r="CU263" i="1"/>
  <c r="AW263" i="1"/>
  <c r="AG263" i="1"/>
  <c r="AE263" i="1"/>
  <c r="Y263" i="1"/>
  <c r="CU262" i="1"/>
  <c r="AW262" i="1"/>
  <c r="AG262" i="1"/>
  <c r="AE262" i="1"/>
  <c r="Y262" i="1"/>
  <c r="CU261" i="1"/>
  <c r="AW261" i="1"/>
  <c r="AG261" i="1"/>
  <c r="AE261" i="1"/>
  <c r="Y261" i="1"/>
  <c r="CU260" i="1"/>
  <c r="AW260" i="1"/>
  <c r="AG260" i="1"/>
  <c r="AE260" i="1"/>
  <c r="Y260" i="1"/>
  <c r="CU259" i="1"/>
  <c r="AW259" i="1"/>
  <c r="AG259" i="1"/>
  <c r="AE259" i="1"/>
  <c r="Y259" i="1"/>
  <c r="CU258" i="1"/>
  <c r="AW258" i="1"/>
  <c r="AG258" i="1"/>
  <c r="AE258" i="1"/>
  <c r="Y258" i="1"/>
  <c r="CU257" i="1"/>
  <c r="AW257" i="1"/>
  <c r="AG257" i="1"/>
  <c r="AE257" i="1"/>
  <c r="Y257" i="1"/>
  <c r="CU256" i="1"/>
  <c r="AW256" i="1"/>
  <c r="AG256" i="1"/>
  <c r="AE256" i="1"/>
  <c r="Y256" i="1"/>
  <c r="CU255" i="1"/>
  <c r="AW255" i="1"/>
  <c r="AG255" i="1"/>
  <c r="AE255" i="1"/>
  <c r="DP254" i="1"/>
  <c r="DP255" i="1" s="1"/>
  <c r="DP256" i="1" s="1"/>
  <c r="DP257" i="1" s="1"/>
  <c r="DP258" i="1" s="1"/>
  <c r="DP259" i="1" s="1"/>
  <c r="DP260" i="1" s="1"/>
  <c r="DP261" i="1" s="1"/>
  <c r="DP262" i="1" s="1"/>
  <c r="DP263" i="1" s="1"/>
  <c r="DP264" i="1" s="1"/>
  <c r="DP265" i="1" s="1"/>
  <c r="DM254" i="1"/>
  <c r="DM255" i="1" s="1"/>
  <c r="DM256" i="1" s="1"/>
  <c r="DM257" i="1" s="1"/>
  <c r="DM258" i="1" s="1"/>
  <c r="DM259" i="1" s="1"/>
  <c r="DM260" i="1" s="1"/>
  <c r="DM261" i="1" s="1"/>
  <c r="DM262" i="1" s="1"/>
  <c r="DM263" i="1" s="1"/>
  <c r="DM264" i="1" s="1"/>
  <c r="DM265" i="1" s="1"/>
  <c r="AW254" i="1"/>
  <c r="AG254" i="1"/>
  <c r="AE254" i="1"/>
  <c r="AD254" i="1"/>
  <c r="AB254" i="1"/>
  <c r="V254" i="1"/>
  <c r="T254" i="1"/>
  <c r="DJ254" i="1"/>
  <c r="L254" i="1"/>
  <c r="J254" i="1"/>
  <c r="H254" i="1"/>
  <c r="F254" i="1"/>
  <c r="CU253" i="1"/>
  <c r="AW253" i="1"/>
  <c r="AG253" i="1"/>
  <c r="AE253" i="1"/>
  <c r="Y253" i="1"/>
  <c r="CU252" i="1"/>
  <c r="AW252" i="1"/>
  <c r="AG252" i="1"/>
  <c r="AE252" i="1"/>
  <c r="Y252" i="1"/>
  <c r="CU251" i="1"/>
  <c r="AW251" i="1"/>
  <c r="AG251" i="1"/>
  <c r="AE251" i="1"/>
  <c r="Y251" i="1"/>
  <c r="CU250" i="1"/>
  <c r="AW250" i="1"/>
  <c r="AG250" i="1"/>
  <c r="AE250" i="1"/>
  <c r="Y250" i="1"/>
  <c r="CU249" i="1"/>
  <c r="AW249" i="1"/>
  <c r="AG249" i="1"/>
  <c r="AE249" i="1"/>
  <c r="Y249" i="1"/>
  <c r="CU248" i="1"/>
  <c r="AW248" i="1"/>
  <c r="AG248" i="1"/>
  <c r="AE248" i="1"/>
  <c r="Y248" i="1"/>
  <c r="CU247" i="1"/>
  <c r="AW247" i="1"/>
  <c r="AG247" i="1"/>
  <c r="AE247" i="1"/>
  <c r="Y247" i="1"/>
  <c r="CU246" i="1"/>
  <c r="AW246" i="1"/>
  <c r="AG246" i="1"/>
  <c r="AE246" i="1"/>
  <c r="Y246" i="1"/>
  <c r="CU245" i="1"/>
  <c r="AW245" i="1"/>
  <c r="AG245" i="1"/>
  <c r="AE245" i="1"/>
  <c r="Y245" i="1"/>
  <c r="CU244" i="1"/>
  <c r="AW244" i="1"/>
  <c r="AG244" i="1"/>
  <c r="AE244" i="1"/>
  <c r="Y244" i="1"/>
  <c r="CU243" i="1"/>
  <c r="AW243" i="1"/>
  <c r="AG243" i="1"/>
  <c r="AE243" i="1"/>
  <c r="Y243" i="1"/>
  <c r="DP242" i="1"/>
  <c r="DP243" i="1" s="1"/>
  <c r="DP244" i="1" s="1"/>
  <c r="DP245" i="1" s="1"/>
  <c r="DP246" i="1" s="1"/>
  <c r="DP247" i="1" s="1"/>
  <c r="DP248" i="1" s="1"/>
  <c r="DP249" i="1" s="1"/>
  <c r="DP250" i="1" s="1"/>
  <c r="DP251" i="1" s="1"/>
  <c r="DP252" i="1" s="1"/>
  <c r="DP253" i="1" s="1"/>
  <c r="DM242" i="1"/>
  <c r="DM243" i="1" s="1"/>
  <c r="DM244" i="1" s="1"/>
  <c r="DM245" i="1" s="1"/>
  <c r="DM246" i="1" s="1"/>
  <c r="DM247" i="1" s="1"/>
  <c r="DM248" i="1" s="1"/>
  <c r="DM249" i="1" s="1"/>
  <c r="DM250" i="1" s="1"/>
  <c r="DM251" i="1" s="1"/>
  <c r="DM252" i="1" s="1"/>
  <c r="DM253" i="1" s="1"/>
  <c r="AW242" i="1"/>
  <c r="AG242" i="1"/>
  <c r="AE242" i="1"/>
  <c r="AD242" i="1"/>
  <c r="AB242" i="1"/>
  <c r="V242" i="1"/>
  <c r="T242" i="1"/>
  <c r="DJ242" i="1"/>
  <c r="L242" i="1"/>
  <c r="J242" i="1"/>
  <c r="H242" i="1"/>
  <c r="F242" i="1"/>
  <c r="I13" i="23"/>
  <c r="I12" i="23"/>
  <c r="N12" i="23" s="1"/>
  <c r="O12" i="23" s="1"/>
  <c r="I11" i="23"/>
  <c r="I10" i="23"/>
  <c r="I9" i="23"/>
  <c r="I8" i="23"/>
  <c r="I7" i="23"/>
  <c r="N7" i="23" s="1"/>
  <c r="O7" i="23" s="1"/>
  <c r="I6" i="23"/>
  <c r="I5" i="23"/>
  <c r="I4" i="23"/>
  <c r="I3" i="23"/>
  <c r="I2" i="23"/>
  <c r="F14" i="23"/>
  <c r="E14" i="23"/>
  <c r="D14" i="23"/>
  <c r="C14" i="23"/>
  <c r="B14" i="23"/>
  <c r="CC23" i="1" l="1"/>
  <c r="CE23" i="1" s="1"/>
  <c r="AQ24" i="1"/>
  <c r="AX290" i="1"/>
  <c r="AF290" i="1"/>
  <c r="DJ243" i="1"/>
  <c r="DJ244" i="1" s="1"/>
  <c r="DJ245" i="1" s="1"/>
  <c r="DJ246" i="1" s="1"/>
  <c r="DJ247" i="1" s="1"/>
  <c r="DJ248" i="1" s="1"/>
  <c r="DJ249" i="1" s="1"/>
  <c r="DJ250" i="1" s="1"/>
  <c r="DJ251" i="1" s="1"/>
  <c r="DJ252" i="1" s="1"/>
  <c r="DJ253" i="1" s="1"/>
  <c r="AT255" i="1"/>
  <c r="J12" i="23"/>
  <c r="K12" i="23" s="1"/>
  <c r="AF242" i="1"/>
  <c r="AF278" i="1"/>
  <c r="AX242" i="1"/>
  <c r="AH278" i="1"/>
  <c r="DH242" i="1"/>
  <c r="DH243" i="1" s="1"/>
  <c r="DH244" i="1" s="1"/>
  <c r="DH245" i="1" s="1"/>
  <c r="DH246" i="1" s="1"/>
  <c r="DH247" i="1" s="1"/>
  <c r="DH248" i="1" s="1"/>
  <c r="DH249" i="1" s="1"/>
  <c r="DH250" i="1" s="1"/>
  <c r="DH251" i="1" s="1"/>
  <c r="DH252" i="1" s="1"/>
  <c r="DH253" i="1" s="1"/>
  <c r="Y242" i="1"/>
  <c r="AX254" i="1"/>
  <c r="AH266" i="1"/>
  <c r="AH242" i="1"/>
  <c r="Y255" i="1"/>
  <c r="N254" i="1"/>
  <c r="Z254" i="1" s="1"/>
  <c r="AF254" i="1"/>
  <c r="AX266" i="1"/>
  <c r="Y290" i="1"/>
  <c r="AF266" i="1"/>
  <c r="Y254" i="1"/>
  <c r="AH254" i="1"/>
  <c r="AH290" i="1"/>
  <c r="DJ255" i="1"/>
  <c r="DJ256" i="1" s="1"/>
  <c r="DJ257" i="1" s="1"/>
  <c r="DJ258" i="1" s="1"/>
  <c r="DJ259" i="1" s="1"/>
  <c r="DJ260" i="1" s="1"/>
  <c r="DJ261" i="1" s="1"/>
  <c r="DJ262" i="1" s="1"/>
  <c r="DJ263" i="1" s="1"/>
  <c r="DJ264" i="1" s="1"/>
  <c r="DJ265" i="1" s="1"/>
  <c r="AX278" i="1"/>
  <c r="J9" i="23"/>
  <c r="K9" i="23" s="1"/>
  <c r="N9" i="23"/>
  <c r="O9" i="23" s="1"/>
  <c r="J4" i="23"/>
  <c r="K4" i="23" s="1"/>
  <c r="N4" i="23"/>
  <c r="O4" i="23" s="1"/>
  <c r="J3" i="23"/>
  <c r="K3" i="23" s="1"/>
  <c r="N3" i="23"/>
  <c r="O3" i="23" s="1"/>
  <c r="J11" i="23"/>
  <c r="K11" i="23" s="1"/>
  <c r="N11" i="23"/>
  <c r="O11" i="23" s="1"/>
  <c r="J5" i="23"/>
  <c r="K5" i="23" s="1"/>
  <c r="N5" i="23"/>
  <c r="O5" i="23" s="1"/>
  <c r="J13" i="23"/>
  <c r="K13" i="23" s="1"/>
  <c r="N13" i="23"/>
  <c r="O13" i="23" s="1"/>
  <c r="J8" i="23"/>
  <c r="K8" i="23" s="1"/>
  <c r="N8" i="23"/>
  <c r="O8" i="23" s="1"/>
  <c r="J2" i="23"/>
  <c r="K2" i="23" s="1"/>
  <c r="N2" i="23"/>
  <c r="O2" i="23" s="1"/>
  <c r="J10" i="23"/>
  <c r="K10" i="23" s="1"/>
  <c r="N10" i="23"/>
  <c r="O10" i="23" s="1"/>
  <c r="J6" i="23"/>
  <c r="K6" i="23" s="1"/>
  <c r="N6" i="23"/>
  <c r="O6" i="23" s="1"/>
  <c r="J7" i="23"/>
  <c r="K7" i="23" s="1"/>
  <c r="M14" i="23"/>
  <c r="I14" i="23"/>
  <c r="N290" i="1"/>
  <c r="Z290" i="1" s="1"/>
  <c r="DH290" i="1"/>
  <c r="DH291" i="1" s="1"/>
  <c r="DH292" i="1" s="1"/>
  <c r="DH293" i="1" s="1"/>
  <c r="DH294" i="1" s="1"/>
  <c r="DH295" i="1" s="1"/>
  <c r="DH296" i="1" s="1"/>
  <c r="DH297" i="1" s="1"/>
  <c r="DH298" i="1" s="1"/>
  <c r="DH299" i="1" s="1"/>
  <c r="DH300" i="1" s="1"/>
  <c r="DH301" i="1" s="1"/>
  <c r="DJ290" i="1"/>
  <c r="DJ291" i="1" s="1"/>
  <c r="DJ292" i="1" s="1"/>
  <c r="DJ293" i="1" s="1"/>
  <c r="DJ294" i="1" s="1"/>
  <c r="DJ295" i="1" s="1"/>
  <c r="DJ296" i="1" s="1"/>
  <c r="DJ297" i="1" s="1"/>
  <c r="DJ298" i="1" s="1"/>
  <c r="DJ299" i="1" s="1"/>
  <c r="DJ300" i="1" s="1"/>
  <c r="DJ301" i="1" s="1"/>
  <c r="DJ278" i="1"/>
  <c r="DJ279" i="1" s="1"/>
  <c r="DJ280" i="1" s="1"/>
  <c r="DJ281" i="1" s="1"/>
  <c r="DJ282" i="1" s="1"/>
  <c r="DJ283" i="1" s="1"/>
  <c r="DJ284" i="1" s="1"/>
  <c r="DJ285" i="1" s="1"/>
  <c r="DJ286" i="1" s="1"/>
  <c r="DJ287" i="1" s="1"/>
  <c r="DJ288" i="1" s="1"/>
  <c r="DJ289" i="1" s="1"/>
  <c r="DH278" i="1"/>
  <c r="DH279" i="1" s="1"/>
  <c r="DH280" i="1" s="1"/>
  <c r="DH281" i="1" s="1"/>
  <c r="DH282" i="1" s="1"/>
  <c r="DH283" i="1" s="1"/>
  <c r="DH284" i="1" s="1"/>
  <c r="DH285" i="1" s="1"/>
  <c r="DH286" i="1" s="1"/>
  <c r="DH287" i="1" s="1"/>
  <c r="DH288" i="1" s="1"/>
  <c r="DH289" i="1" s="1"/>
  <c r="N278" i="1"/>
  <c r="Z278" i="1" s="1"/>
  <c r="N266" i="1"/>
  <c r="Z266" i="1" s="1"/>
  <c r="DH266" i="1"/>
  <c r="DH267" i="1" s="1"/>
  <c r="DH268" i="1" s="1"/>
  <c r="DH269" i="1" s="1"/>
  <c r="DH270" i="1" s="1"/>
  <c r="DH271" i="1" s="1"/>
  <c r="DH272" i="1" s="1"/>
  <c r="DH273" i="1" s="1"/>
  <c r="DH274" i="1" s="1"/>
  <c r="DH275" i="1" s="1"/>
  <c r="DH276" i="1" s="1"/>
  <c r="DH277" i="1" s="1"/>
  <c r="DJ266" i="1"/>
  <c r="DJ267" i="1" s="1"/>
  <c r="DJ268" i="1" s="1"/>
  <c r="DJ269" i="1" s="1"/>
  <c r="DJ270" i="1" s="1"/>
  <c r="DJ271" i="1" s="1"/>
  <c r="DJ272" i="1" s="1"/>
  <c r="DJ273" i="1" s="1"/>
  <c r="DJ274" i="1" s="1"/>
  <c r="DJ275" i="1" s="1"/>
  <c r="DJ276" i="1" s="1"/>
  <c r="DJ277" i="1" s="1"/>
  <c r="DH254" i="1"/>
  <c r="DH255" i="1" s="1"/>
  <c r="DH256" i="1" s="1"/>
  <c r="DH257" i="1" s="1"/>
  <c r="DH258" i="1" s="1"/>
  <c r="DH259" i="1" s="1"/>
  <c r="DH260" i="1" s="1"/>
  <c r="DH261" i="1" s="1"/>
  <c r="DH262" i="1" s="1"/>
  <c r="DH263" i="1" s="1"/>
  <c r="DH264" i="1" s="1"/>
  <c r="DH265" i="1" s="1"/>
  <c r="N242" i="1"/>
  <c r="Z242" i="1" s="1"/>
  <c r="CC24" i="1" l="1"/>
  <c r="CE24" i="1" s="1"/>
  <c r="AQ25" i="1"/>
  <c r="AT256" i="1"/>
  <c r="AT257" i="1" s="1"/>
  <c r="AT258" i="1" s="1"/>
  <c r="AT259" i="1" s="1"/>
  <c r="AT260" i="1" s="1"/>
  <c r="AT261" i="1" s="1"/>
  <c r="AT262" i="1" s="1"/>
  <c r="AT263" i="1" s="1"/>
  <c r="AT264" i="1" s="1"/>
  <c r="AT265" i="1" s="1"/>
  <c r="AT266" i="1" s="1"/>
  <c r="J14" i="23"/>
  <c r="K14" i="23" s="1"/>
  <c r="N14" i="23"/>
  <c r="O14" i="23"/>
  <c r="CC25" i="1" l="1"/>
  <c r="CD14" i="1" s="1"/>
  <c r="AQ26" i="1"/>
  <c r="AT267" i="1"/>
  <c r="H230" i="1"/>
  <c r="H218" i="1"/>
  <c r="H206" i="1"/>
  <c r="H194" i="1"/>
  <c r="H182" i="1"/>
  <c r="H170" i="1"/>
  <c r="H158" i="1"/>
  <c r="H146" i="1"/>
  <c r="H134" i="1"/>
  <c r="H122" i="1"/>
  <c r="H110" i="1"/>
  <c r="H98" i="1"/>
  <c r="H86" i="1"/>
  <c r="H74" i="1"/>
  <c r="H62" i="1"/>
  <c r="H50" i="1"/>
  <c r="H38" i="1"/>
  <c r="CC26" i="1" l="1"/>
  <c r="AQ27" i="1"/>
  <c r="CE25" i="1"/>
  <c r="CF25" i="1" s="1"/>
  <c r="AT268" i="1"/>
  <c r="AT269" i="1" s="1"/>
  <c r="AT270" i="1" s="1"/>
  <c r="AT271" i="1" s="1"/>
  <c r="AT272" i="1" s="1"/>
  <c r="AT273" i="1" s="1"/>
  <c r="AT274" i="1" s="1"/>
  <c r="AT275" i="1" s="1"/>
  <c r="AT276" i="1" s="1"/>
  <c r="AT277" i="1" s="1"/>
  <c r="AT278" i="1" s="1"/>
  <c r="G7" i="1"/>
  <c r="G11" i="1"/>
  <c r="G17" i="1"/>
  <c r="G18" i="1"/>
  <c r="G13" i="1"/>
  <c r="G8" i="1"/>
  <c r="G12" i="1"/>
  <c r="G5" i="1"/>
  <c r="G9" i="1"/>
  <c r="G15" i="1"/>
  <c r="G16" i="1"/>
  <c r="G19" i="1"/>
  <c r="G6" i="1"/>
  <c r="G10" i="1"/>
  <c r="G2" i="1"/>
  <c r="G3" i="1"/>
  <c r="Q7" i="18"/>
  <c r="Q6" i="18"/>
  <c r="Q5" i="18"/>
  <c r="Q4" i="18"/>
  <c r="CK6" i="1"/>
  <c r="CK5" i="1"/>
  <c r="CK4" i="1"/>
  <c r="CK3" i="1"/>
  <c r="CK2" i="1"/>
  <c r="CL2" i="1"/>
  <c r="CC27" i="1" l="1"/>
  <c r="CE27" i="1" s="1"/>
  <c r="CF27" i="1" s="1"/>
  <c r="AQ28" i="1"/>
  <c r="CE26" i="1"/>
  <c r="CF26" i="1" s="1"/>
  <c r="G14" i="1"/>
  <c r="D14" i="1"/>
  <c r="G4" i="1"/>
  <c r="D2" i="1"/>
  <c r="AT279" i="1"/>
  <c r="DR22" i="1"/>
  <c r="DR34" i="1" s="1"/>
  <c r="DR46" i="1" s="1"/>
  <c r="DR58" i="1" s="1"/>
  <c r="DR70" i="1" s="1"/>
  <c r="DR82" i="1" s="1"/>
  <c r="DR94" i="1" s="1"/>
  <c r="DR106" i="1" s="1"/>
  <c r="DR118" i="1" s="1"/>
  <c r="DR130" i="1" s="1"/>
  <c r="DR142" i="1" s="1"/>
  <c r="DR154" i="1" s="1"/>
  <c r="DR166" i="1" s="1"/>
  <c r="DR178" i="1" s="1"/>
  <c r="DR190" i="1" s="1"/>
  <c r="DR202" i="1" s="1"/>
  <c r="DR214" i="1" s="1"/>
  <c r="DR226" i="1" s="1"/>
  <c r="DR238" i="1" s="1"/>
  <c r="DR250" i="1" s="1"/>
  <c r="DR262" i="1" s="1"/>
  <c r="DR274" i="1" s="1"/>
  <c r="DR286" i="1" s="1"/>
  <c r="DR298" i="1" s="1"/>
  <c r="CT38" i="1"/>
  <c r="CT50" i="1" s="1"/>
  <c r="CT62" i="1" s="1"/>
  <c r="CT74" i="1" s="1"/>
  <c r="CT86" i="1" s="1"/>
  <c r="CT98" i="1" s="1"/>
  <c r="CT110" i="1" s="1"/>
  <c r="CT122" i="1" s="1"/>
  <c r="CT134" i="1" s="1"/>
  <c r="CT146" i="1" s="1"/>
  <c r="CT158" i="1" s="1"/>
  <c r="CT170" i="1" s="1"/>
  <c r="CT182" i="1" s="1"/>
  <c r="CT194" i="1" s="1"/>
  <c r="CT206" i="1" s="1"/>
  <c r="CT218" i="1" s="1"/>
  <c r="CT230" i="1" s="1"/>
  <c r="CT242" i="1" s="1"/>
  <c r="CC28" i="1" l="1"/>
  <c r="AQ29" i="1"/>
  <c r="AT280" i="1"/>
  <c r="AT281" i="1" s="1"/>
  <c r="AT282" i="1" s="1"/>
  <c r="AT283" i="1" s="1"/>
  <c r="AT284" i="1" s="1"/>
  <c r="AT285" i="1" s="1"/>
  <c r="AT286" i="1" s="1"/>
  <c r="AT287" i="1" s="1"/>
  <c r="AT288" i="1" s="1"/>
  <c r="AT289" i="1" s="1"/>
  <c r="AT290" i="1" s="1"/>
  <c r="CU242" i="1"/>
  <c r="CT254" i="1"/>
  <c r="CU241" i="1"/>
  <c r="AW241" i="1"/>
  <c r="AG241" i="1"/>
  <c r="AE241" i="1"/>
  <c r="Y241" i="1"/>
  <c r="CU240" i="1"/>
  <c r="AW240" i="1"/>
  <c r="AG240" i="1"/>
  <c r="AE240" i="1"/>
  <c r="Y240" i="1"/>
  <c r="CU239" i="1"/>
  <c r="AW239" i="1"/>
  <c r="AG239" i="1"/>
  <c r="AE239" i="1"/>
  <c r="Y239" i="1"/>
  <c r="CU238" i="1"/>
  <c r="AW238" i="1"/>
  <c r="AG238" i="1"/>
  <c r="AE238" i="1"/>
  <c r="Y238" i="1"/>
  <c r="CU237" i="1"/>
  <c r="AW237" i="1"/>
  <c r="AG237" i="1"/>
  <c r="AE237" i="1"/>
  <c r="Y237" i="1"/>
  <c r="CU236" i="1"/>
  <c r="AW236" i="1"/>
  <c r="AG236" i="1"/>
  <c r="AE236" i="1"/>
  <c r="Y236" i="1"/>
  <c r="CU235" i="1"/>
  <c r="AW235" i="1"/>
  <c r="AG235" i="1"/>
  <c r="AE235" i="1"/>
  <c r="Y235" i="1"/>
  <c r="CU234" i="1"/>
  <c r="AW234" i="1"/>
  <c r="AG234" i="1"/>
  <c r="AE234" i="1"/>
  <c r="Y234" i="1"/>
  <c r="CU233" i="1"/>
  <c r="AW233" i="1"/>
  <c r="AG233" i="1"/>
  <c r="AE233" i="1"/>
  <c r="Y233" i="1"/>
  <c r="CU232" i="1"/>
  <c r="AW232" i="1"/>
  <c r="AG232" i="1"/>
  <c r="AE232" i="1"/>
  <c r="Y232" i="1"/>
  <c r="CU231" i="1"/>
  <c r="AW231" i="1"/>
  <c r="AG231" i="1"/>
  <c r="AE231" i="1"/>
  <c r="Y231" i="1"/>
  <c r="DP230" i="1"/>
  <c r="DP231" i="1" s="1"/>
  <c r="DP232" i="1" s="1"/>
  <c r="DP233" i="1" s="1"/>
  <c r="DP234" i="1" s="1"/>
  <c r="DP235" i="1" s="1"/>
  <c r="DP236" i="1" s="1"/>
  <c r="DP237" i="1" s="1"/>
  <c r="DP238" i="1" s="1"/>
  <c r="DP239" i="1" s="1"/>
  <c r="DP240" i="1" s="1"/>
  <c r="DP241" i="1" s="1"/>
  <c r="DM230" i="1"/>
  <c r="DM231" i="1" s="1"/>
  <c r="DM232" i="1" s="1"/>
  <c r="DM233" i="1" s="1"/>
  <c r="DM234" i="1" s="1"/>
  <c r="DM235" i="1" s="1"/>
  <c r="DM236" i="1" s="1"/>
  <c r="DM237" i="1" s="1"/>
  <c r="DM238" i="1" s="1"/>
  <c r="DM239" i="1" s="1"/>
  <c r="DM240" i="1" s="1"/>
  <c r="DM241" i="1" s="1"/>
  <c r="CU230" i="1"/>
  <c r="AW230" i="1"/>
  <c r="AG230" i="1"/>
  <c r="AE230" i="1"/>
  <c r="AD230" i="1"/>
  <c r="AB230" i="1"/>
  <c r="V230" i="1"/>
  <c r="T230" i="1"/>
  <c r="Y230" i="1"/>
  <c r="L230" i="1"/>
  <c r="J230" i="1"/>
  <c r="F230" i="1"/>
  <c r="CU229" i="1"/>
  <c r="AW229" i="1"/>
  <c r="AG229" i="1"/>
  <c r="AE229" i="1"/>
  <c r="Y229" i="1"/>
  <c r="CU228" i="1"/>
  <c r="AW228" i="1"/>
  <c r="AG228" i="1"/>
  <c r="AE228" i="1"/>
  <c r="Y228" i="1"/>
  <c r="CU227" i="1"/>
  <c r="AW227" i="1"/>
  <c r="AG227" i="1"/>
  <c r="AE227" i="1"/>
  <c r="Y227" i="1"/>
  <c r="CU226" i="1"/>
  <c r="AW226" i="1"/>
  <c r="AG226" i="1"/>
  <c r="AE226" i="1"/>
  <c r="Y226" i="1"/>
  <c r="CU225" i="1"/>
  <c r="AW225" i="1"/>
  <c r="AG225" i="1"/>
  <c r="AE225" i="1"/>
  <c r="Y225" i="1"/>
  <c r="CU224" i="1"/>
  <c r="AW224" i="1"/>
  <c r="AG224" i="1"/>
  <c r="AE224" i="1"/>
  <c r="Y224" i="1"/>
  <c r="CU223" i="1"/>
  <c r="AW223" i="1"/>
  <c r="AG223" i="1"/>
  <c r="AE223" i="1"/>
  <c r="Y223" i="1"/>
  <c r="CU222" i="1"/>
  <c r="AW222" i="1"/>
  <c r="AG222" i="1"/>
  <c r="AE222" i="1"/>
  <c r="Y222" i="1"/>
  <c r="CU221" i="1"/>
  <c r="AW221" i="1"/>
  <c r="AG221" i="1"/>
  <c r="AE221" i="1"/>
  <c r="Y221" i="1"/>
  <c r="CU220" i="1"/>
  <c r="AW220" i="1"/>
  <c r="AG220" i="1"/>
  <c r="AE220" i="1"/>
  <c r="Y220" i="1"/>
  <c r="CU219" i="1"/>
  <c r="AW219" i="1"/>
  <c r="AG219" i="1"/>
  <c r="AE219" i="1"/>
  <c r="Y219" i="1"/>
  <c r="DP218" i="1"/>
  <c r="DP219" i="1" s="1"/>
  <c r="DP220" i="1" s="1"/>
  <c r="DP221" i="1" s="1"/>
  <c r="DP222" i="1" s="1"/>
  <c r="DP223" i="1" s="1"/>
  <c r="DP224" i="1" s="1"/>
  <c r="DP225" i="1" s="1"/>
  <c r="DP226" i="1" s="1"/>
  <c r="DP227" i="1" s="1"/>
  <c r="DP228" i="1" s="1"/>
  <c r="DP229" i="1" s="1"/>
  <c r="DM218" i="1"/>
  <c r="DM219" i="1" s="1"/>
  <c r="DM220" i="1" s="1"/>
  <c r="DM221" i="1" s="1"/>
  <c r="DM222" i="1" s="1"/>
  <c r="DM223" i="1" s="1"/>
  <c r="DM224" i="1" s="1"/>
  <c r="DM225" i="1" s="1"/>
  <c r="DM226" i="1" s="1"/>
  <c r="DM227" i="1" s="1"/>
  <c r="DM228" i="1" s="1"/>
  <c r="DM229" i="1" s="1"/>
  <c r="CU218" i="1"/>
  <c r="AW218" i="1"/>
  <c r="AG218" i="1"/>
  <c r="AE218" i="1"/>
  <c r="AD218" i="1"/>
  <c r="AB218" i="1"/>
  <c r="V218" i="1"/>
  <c r="T218" i="1"/>
  <c r="L218" i="1"/>
  <c r="J218" i="1"/>
  <c r="F218" i="1"/>
  <c r="CU217" i="1"/>
  <c r="AW217" i="1"/>
  <c r="AG217" i="1"/>
  <c r="AE217" i="1"/>
  <c r="Y217" i="1"/>
  <c r="CU216" i="1"/>
  <c r="AW216" i="1"/>
  <c r="AG216" i="1"/>
  <c r="AE216" i="1"/>
  <c r="Y216" i="1"/>
  <c r="CU215" i="1"/>
  <c r="AW215" i="1"/>
  <c r="AG215" i="1"/>
  <c r="AE215" i="1"/>
  <c r="Y215" i="1"/>
  <c r="CU214" i="1"/>
  <c r="AW214" i="1"/>
  <c r="AG214" i="1"/>
  <c r="AE214" i="1"/>
  <c r="Y214" i="1"/>
  <c r="CU213" i="1"/>
  <c r="AW213" i="1"/>
  <c r="AG213" i="1"/>
  <c r="AE213" i="1"/>
  <c r="Y213" i="1"/>
  <c r="CU212" i="1"/>
  <c r="AW212" i="1"/>
  <c r="AG212" i="1"/>
  <c r="AE212" i="1"/>
  <c r="Y212" i="1"/>
  <c r="CU211" i="1"/>
  <c r="AW211" i="1"/>
  <c r="AG211" i="1"/>
  <c r="AE211" i="1"/>
  <c r="Y211" i="1"/>
  <c r="CU210" i="1"/>
  <c r="AW210" i="1"/>
  <c r="AG210" i="1"/>
  <c r="AE210" i="1"/>
  <c r="Y210" i="1"/>
  <c r="CU209" i="1"/>
  <c r="AW209" i="1"/>
  <c r="AG209" i="1"/>
  <c r="AE209" i="1"/>
  <c r="Y209" i="1"/>
  <c r="CU208" i="1"/>
  <c r="AW208" i="1"/>
  <c r="AG208" i="1"/>
  <c r="AE208" i="1"/>
  <c r="Y208" i="1"/>
  <c r="CU207" i="1"/>
  <c r="AW207" i="1"/>
  <c r="AG207" i="1"/>
  <c r="AE207" i="1"/>
  <c r="Y207" i="1"/>
  <c r="DP206" i="1"/>
  <c r="DP207" i="1" s="1"/>
  <c r="DP208" i="1" s="1"/>
  <c r="DP209" i="1" s="1"/>
  <c r="DP210" i="1" s="1"/>
  <c r="DP211" i="1" s="1"/>
  <c r="DP212" i="1" s="1"/>
  <c r="DP213" i="1" s="1"/>
  <c r="DP214" i="1" s="1"/>
  <c r="DP215" i="1" s="1"/>
  <c r="DP216" i="1" s="1"/>
  <c r="DP217" i="1" s="1"/>
  <c r="DM206" i="1"/>
  <c r="DM207" i="1" s="1"/>
  <c r="DM208" i="1" s="1"/>
  <c r="DM209" i="1" s="1"/>
  <c r="DM210" i="1" s="1"/>
  <c r="DM211" i="1" s="1"/>
  <c r="DM212" i="1" s="1"/>
  <c r="DM213" i="1" s="1"/>
  <c r="DM214" i="1" s="1"/>
  <c r="DM215" i="1" s="1"/>
  <c r="DM216" i="1" s="1"/>
  <c r="DM217" i="1" s="1"/>
  <c r="CU206" i="1"/>
  <c r="AW206" i="1"/>
  <c r="AG206" i="1"/>
  <c r="AE206" i="1"/>
  <c r="AD206" i="1"/>
  <c r="AB206" i="1"/>
  <c r="V206" i="1"/>
  <c r="T206" i="1"/>
  <c r="L206" i="1"/>
  <c r="J206" i="1"/>
  <c r="F206" i="1"/>
  <c r="CU205" i="1"/>
  <c r="AW205" i="1"/>
  <c r="AG205" i="1"/>
  <c r="AE205" i="1"/>
  <c r="Y205" i="1"/>
  <c r="CU204" i="1"/>
  <c r="AW204" i="1"/>
  <c r="AG204" i="1"/>
  <c r="AE204" i="1"/>
  <c r="Y204" i="1"/>
  <c r="CU203" i="1"/>
  <c r="AW203" i="1"/>
  <c r="AG203" i="1"/>
  <c r="AE203" i="1"/>
  <c r="Y203" i="1"/>
  <c r="CU202" i="1"/>
  <c r="AW202" i="1"/>
  <c r="AG202" i="1"/>
  <c r="AE202" i="1"/>
  <c r="Y202" i="1"/>
  <c r="CU201" i="1"/>
  <c r="AW201" i="1"/>
  <c r="AG201" i="1"/>
  <c r="AE201" i="1"/>
  <c r="Y201" i="1"/>
  <c r="CU200" i="1"/>
  <c r="AW200" i="1"/>
  <c r="AG200" i="1"/>
  <c r="AE200" i="1"/>
  <c r="Y200" i="1"/>
  <c r="CU199" i="1"/>
  <c r="AW199" i="1"/>
  <c r="AG199" i="1"/>
  <c r="AE199" i="1"/>
  <c r="Y199" i="1"/>
  <c r="CU198" i="1"/>
  <c r="AW198" i="1"/>
  <c r="AG198" i="1"/>
  <c r="AE198" i="1"/>
  <c r="Y198" i="1"/>
  <c r="CU197" i="1"/>
  <c r="AW197" i="1"/>
  <c r="AG197" i="1"/>
  <c r="AE197" i="1"/>
  <c r="Y197" i="1"/>
  <c r="CU196" i="1"/>
  <c r="AW196" i="1"/>
  <c r="AG196" i="1"/>
  <c r="AE196" i="1"/>
  <c r="Y196" i="1"/>
  <c r="CU195" i="1"/>
  <c r="AW195" i="1"/>
  <c r="AG195" i="1"/>
  <c r="AE195" i="1"/>
  <c r="Y195" i="1"/>
  <c r="DP194" i="1"/>
  <c r="DP195" i="1" s="1"/>
  <c r="DP196" i="1" s="1"/>
  <c r="DP197" i="1" s="1"/>
  <c r="DP198" i="1" s="1"/>
  <c r="DP199" i="1" s="1"/>
  <c r="DP200" i="1" s="1"/>
  <c r="DP201" i="1" s="1"/>
  <c r="DP202" i="1" s="1"/>
  <c r="DP203" i="1" s="1"/>
  <c r="DP204" i="1" s="1"/>
  <c r="DP205" i="1" s="1"/>
  <c r="DM194" i="1"/>
  <c r="DM195" i="1" s="1"/>
  <c r="DM196" i="1" s="1"/>
  <c r="DM197" i="1" s="1"/>
  <c r="DM198" i="1" s="1"/>
  <c r="DM199" i="1" s="1"/>
  <c r="DM200" i="1" s="1"/>
  <c r="DM201" i="1" s="1"/>
  <c r="DM202" i="1" s="1"/>
  <c r="DM203" i="1" s="1"/>
  <c r="DM204" i="1" s="1"/>
  <c r="DM205" i="1" s="1"/>
  <c r="CU194" i="1"/>
  <c r="AW194" i="1"/>
  <c r="AG194" i="1"/>
  <c r="AE194" i="1"/>
  <c r="AD194" i="1"/>
  <c r="AB194" i="1"/>
  <c r="V194" i="1"/>
  <c r="T194" i="1"/>
  <c r="L194" i="1"/>
  <c r="J194" i="1"/>
  <c r="F194" i="1"/>
  <c r="CU193" i="1"/>
  <c r="AW193" i="1"/>
  <c r="AG193" i="1"/>
  <c r="AE193" i="1"/>
  <c r="Y193" i="1"/>
  <c r="CU192" i="1"/>
  <c r="AW192" i="1"/>
  <c r="AG192" i="1"/>
  <c r="AE192" i="1"/>
  <c r="Y192" i="1"/>
  <c r="CU191" i="1"/>
  <c r="AW191" i="1"/>
  <c r="AG191" i="1"/>
  <c r="AE191" i="1"/>
  <c r="Y191" i="1"/>
  <c r="CU190" i="1"/>
  <c r="AW190" i="1"/>
  <c r="AG190" i="1"/>
  <c r="AE190" i="1"/>
  <c r="Y190" i="1"/>
  <c r="CU189" i="1"/>
  <c r="AW189" i="1"/>
  <c r="AG189" i="1"/>
  <c r="AE189" i="1"/>
  <c r="Y189" i="1"/>
  <c r="CU188" i="1"/>
  <c r="AW188" i="1"/>
  <c r="AG188" i="1"/>
  <c r="AE188" i="1"/>
  <c r="Y188" i="1"/>
  <c r="CU187" i="1"/>
  <c r="AW187" i="1"/>
  <c r="AG187" i="1"/>
  <c r="AE187" i="1"/>
  <c r="Y187" i="1"/>
  <c r="CU186" i="1"/>
  <c r="AW186" i="1"/>
  <c r="AG186" i="1"/>
  <c r="AE186" i="1"/>
  <c r="Y186" i="1"/>
  <c r="CU185" i="1"/>
  <c r="AW185" i="1"/>
  <c r="AG185" i="1"/>
  <c r="AE185" i="1"/>
  <c r="Y185" i="1"/>
  <c r="CU184" i="1"/>
  <c r="AW184" i="1"/>
  <c r="AG184" i="1"/>
  <c r="AE184" i="1"/>
  <c r="Y184" i="1"/>
  <c r="CU183" i="1"/>
  <c r="AW183" i="1"/>
  <c r="AG183" i="1"/>
  <c r="AE183" i="1"/>
  <c r="Y183" i="1"/>
  <c r="DP182" i="1"/>
  <c r="DP183" i="1" s="1"/>
  <c r="DP184" i="1" s="1"/>
  <c r="DP185" i="1" s="1"/>
  <c r="DP186" i="1" s="1"/>
  <c r="DP187" i="1" s="1"/>
  <c r="DP188" i="1" s="1"/>
  <c r="DP189" i="1" s="1"/>
  <c r="DP190" i="1" s="1"/>
  <c r="DP191" i="1" s="1"/>
  <c r="DP192" i="1" s="1"/>
  <c r="DP193" i="1" s="1"/>
  <c r="DM182" i="1"/>
  <c r="DM183" i="1" s="1"/>
  <c r="DM184" i="1" s="1"/>
  <c r="DM185" i="1" s="1"/>
  <c r="DM186" i="1" s="1"/>
  <c r="DM187" i="1" s="1"/>
  <c r="DM188" i="1" s="1"/>
  <c r="DM189" i="1" s="1"/>
  <c r="DM190" i="1" s="1"/>
  <c r="DM191" i="1" s="1"/>
  <c r="DM192" i="1" s="1"/>
  <c r="DM193" i="1" s="1"/>
  <c r="CU182" i="1"/>
  <c r="AW182" i="1"/>
  <c r="AG182" i="1"/>
  <c r="AE182" i="1"/>
  <c r="AD182" i="1"/>
  <c r="AB182" i="1"/>
  <c r="V182" i="1"/>
  <c r="T182" i="1"/>
  <c r="L182" i="1"/>
  <c r="J182" i="1"/>
  <c r="F182" i="1"/>
  <c r="CU181" i="1"/>
  <c r="AW181" i="1"/>
  <c r="AG181" i="1"/>
  <c r="AE181" i="1"/>
  <c r="Y181" i="1"/>
  <c r="CU180" i="1"/>
  <c r="AW180" i="1"/>
  <c r="AG180" i="1"/>
  <c r="AE180" i="1"/>
  <c r="Y180" i="1"/>
  <c r="CU179" i="1"/>
  <c r="AW179" i="1"/>
  <c r="AG179" i="1"/>
  <c r="AE179" i="1"/>
  <c r="Y179" i="1"/>
  <c r="CU178" i="1"/>
  <c r="AW178" i="1"/>
  <c r="AG178" i="1"/>
  <c r="AE178" i="1"/>
  <c r="Y178" i="1"/>
  <c r="CU177" i="1"/>
  <c r="AW177" i="1"/>
  <c r="AG177" i="1"/>
  <c r="AE177" i="1"/>
  <c r="Y177" i="1"/>
  <c r="CU176" i="1"/>
  <c r="AW176" i="1"/>
  <c r="AG176" i="1"/>
  <c r="AE176" i="1"/>
  <c r="Y176" i="1"/>
  <c r="CU175" i="1"/>
  <c r="AW175" i="1"/>
  <c r="AG175" i="1"/>
  <c r="AE175" i="1"/>
  <c r="Y175" i="1"/>
  <c r="CU174" i="1"/>
  <c r="AW174" i="1"/>
  <c r="AG174" i="1"/>
  <c r="AE174" i="1"/>
  <c r="Y174" i="1"/>
  <c r="CU173" i="1"/>
  <c r="AW173" i="1"/>
  <c r="AG173" i="1"/>
  <c r="AE173" i="1"/>
  <c r="Y173" i="1"/>
  <c r="CU172" i="1"/>
  <c r="AW172" i="1"/>
  <c r="AG172" i="1"/>
  <c r="AE172" i="1"/>
  <c r="Y172" i="1"/>
  <c r="CU171" i="1"/>
  <c r="AW171" i="1"/>
  <c r="AG171" i="1"/>
  <c r="AE171" i="1"/>
  <c r="Y171" i="1"/>
  <c r="DP170" i="1"/>
  <c r="DP171" i="1" s="1"/>
  <c r="DP172" i="1" s="1"/>
  <c r="DP173" i="1" s="1"/>
  <c r="DP174" i="1" s="1"/>
  <c r="DP175" i="1" s="1"/>
  <c r="DP176" i="1" s="1"/>
  <c r="DP177" i="1" s="1"/>
  <c r="DP178" i="1" s="1"/>
  <c r="DP179" i="1" s="1"/>
  <c r="DP180" i="1" s="1"/>
  <c r="DP181" i="1" s="1"/>
  <c r="DM170" i="1"/>
  <c r="DM171" i="1" s="1"/>
  <c r="DM172" i="1" s="1"/>
  <c r="DM173" i="1" s="1"/>
  <c r="DM174" i="1" s="1"/>
  <c r="DM175" i="1" s="1"/>
  <c r="DM176" i="1" s="1"/>
  <c r="DM177" i="1" s="1"/>
  <c r="DM178" i="1" s="1"/>
  <c r="DM179" i="1" s="1"/>
  <c r="DM180" i="1" s="1"/>
  <c r="DM181" i="1" s="1"/>
  <c r="CU170" i="1"/>
  <c r="AW170" i="1"/>
  <c r="AG170" i="1"/>
  <c r="AE170" i="1"/>
  <c r="AD170" i="1"/>
  <c r="AB170" i="1"/>
  <c r="V170" i="1"/>
  <c r="T170" i="1"/>
  <c r="L170" i="1"/>
  <c r="J170" i="1"/>
  <c r="F170" i="1"/>
  <c r="CU169" i="1"/>
  <c r="AW169" i="1"/>
  <c r="AG169" i="1"/>
  <c r="AE169" i="1"/>
  <c r="Y169" i="1"/>
  <c r="CU168" i="1"/>
  <c r="AW168" i="1"/>
  <c r="AG168" i="1"/>
  <c r="AE168" i="1"/>
  <c r="Y168" i="1"/>
  <c r="CU167" i="1"/>
  <c r="AW167" i="1"/>
  <c r="AG167" i="1"/>
  <c r="AE167" i="1"/>
  <c r="Y167" i="1"/>
  <c r="CU166" i="1"/>
  <c r="AW166" i="1"/>
  <c r="AG166" i="1"/>
  <c r="AE166" i="1"/>
  <c r="Y166" i="1"/>
  <c r="CU165" i="1"/>
  <c r="AW165" i="1"/>
  <c r="AG165" i="1"/>
  <c r="AE165" i="1"/>
  <c r="Y165" i="1"/>
  <c r="CU164" i="1"/>
  <c r="AW164" i="1"/>
  <c r="AG164" i="1"/>
  <c r="AE164" i="1"/>
  <c r="Y164" i="1"/>
  <c r="CU163" i="1"/>
  <c r="AW163" i="1"/>
  <c r="AG163" i="1"/>
  <c r="AE163" i="1"/>
  <c r="Y163" i="1"/>
  <c r="CU162" i="1"/>
  <c r="AW162" i="1"/>
  <c r="AG162" i="1"/>
  <c r="AE162" i="1"/>
  <c r="Y162" i="1"/>
  <c r="CU161" i="1"/>
  <c r="AW161" i="1"/>
  <c r="AG161" i="1"/>
  <c r="AE161" i="1"/>
  <c r="Y161" i="1"/>
  <c r="CU160" i="1"/>
  <c r="AW160" i="1"/>
  <c r="AG160" i="1"/>
  <c r="AE160" i="1"/>
  <c r="Y160" i="1"/>
  <c r="CU159" i="1"/>
  <c r="AW159" i="1"/>
  <c r="AG159" i="1"/>
  <c r="AE159" i="1"/>
  <c r="Y159" i="1"/>
  <c r="DP158" i="1"/>
  <c r="DP159" i="1" s="1"/>
  <c r="DP160" i="1" s="1"/>
  <c r="DP161" i="1" s="1"/>
  <c r="DP162" i="1" s="1"/>
  <c r="DP163" i="1" s="1"/>
  <c r="DP164" i="1" s="1"/>
  <c r="DP165" i="1" s="1"/>
  <c r="DP166" i="1" s="1"/>
  <c r="DP167" i="1" s="1"/>
  <c r="DP168" i="1" s="1"/>
  <c r="DP169" i="1" s="1"/>
  <c r="DM158" i="1"/>
  <c r="DM159" i="1" s="1"/>
  <c r="DM160" i="1" s="1"/>
  <c r="DM161" i="1" s="1"/>
  <c r="DM162" i="1" s="1"/>
  <c r="DM163" i="1" s="1"/>
  <c r="DM164" i="1" s="1"/>
  <c r="DM165" i="1" s="1"/>
  <c r="DM166" i="1" s="1"/>
  <c r="DM167" i="1" s="1"/>
  <c r="DM168" i="1" s="1"/>
  <c r="DM169" i="1" s="1"/>
  <c r="CU158" i="1"/>
  <c r="AW158" i="1"/>
  <c r="AG158" i="1"/>
  <c r="AE158" i="1"/>
  <c r="AD158" i="1"/>
  <c r="AB158" i="1"/>
  <c r="V158" i="1"/>
  <c r="T158" i="1"/>
  <c r="L158" i="1"/>
  <c r="J158" i="1"/>
  <c r="F158" i="1"/>
  <c r="CU157" i="1"/>
  <c r="AW157" i="1"/>
  <c r="AG157" i="1"/>
  <c r="AE157" i="1"/>
  <c r="Y157" i="1"/>
  <c r="CU156" i="1"/>
  <c r="AW156" i="1"/>
  <c r="AG156" i="1"/>
  <c r="AE156" i="1"/>
  <c r="Y156" i="1"/>
  <c r="CU155" i="1"/>
  <c r="AW155" i="1"/>
  <c r="AG155" i="1"/>
  <c r="AE155" i="1"/>
  <c r="Y155" i="1"/>
  <c r="CU154" i="1"/>
  <c r="AW154" i="1"/>
  <c r="AG154" i="1"/>
  <c r="AE154" i="1"/>
  <c r="Y154" i="1"/>
  <c r="CU153" i="1"/>
  <c r="AW153" i="1"/>
  <c r="AG153" i="1"/>
  <c r="AE153" i="1"/>
  <c r="Y153" i="1"/>
  <c r="CU152" i="1"/>
  <c r="AW152" i="1"/>
  <c r="AG152" i="1"/>
  <c r="AE152" i="1"/>
  <c r="Y152" i="1"/>
  <c r="CU151" i="1"/>
  <c r="AW151" i="1"/>
  <c r="AG151" i="1"/>
  <c r="AE151" i="1"/>
  <c r="Y151" i="1"/>
  <c r="CU150" i="1"/>
  <c r="AW150" i="1"/>
  <c r="AG150" i="1"/>
  <c r="AE150" i="1"/>
  <c r="Y150" i="1"/>
  <c r="CU149" i="1"/>
  <c r="AW149" i="1"/>
  <c r="AG149" i="1"/>
  <c r="AE149" i="1"/>
  <c r="Y149" i="1"/>
  <c r="CU148" i="1"/>
  <c r="AW148" i="1"/>
  <c r="AG148" i="1"/>
  <c r="AE148" i="1"/>
  <c r="Y148" i="1"/>
  <c r="CU147" i="1"/>
  <c r="AW147" i="1"/>
  <c r="AG147" i="1"/>
  <c r="AE147" i="1"/>
  <c r="Y147" i="1"/>
  <c r="DP146" i="1"/>
  <c r="DP147" i="1" s="1"/>
  <c r="DP148" i="1" s="1"/>
  <c r="DP149" i="1" s="1"/>
  <c r="DP150" i="1" s="1"/>
  <c r="DP151" i="1" s="1"/>
  <c r="DP152" i="1" s="1"/>
  <c r="DP153" i="1" s="1"/>
  <c r="DP154" i="1" s="1"/>
  <c r="DP155" i="1" s="1"/>
  <c r="DP156" i="1" s="1"/>
  <c r="DP157" i="1" s="1"/>
  <c r="DM146" i="1"/>
  <c r="DM147" i="1" s="1"/>
  <c r="DM148" i="1" s="1"/>
  <c r="DM149" i="1" s="1"/>
  <c r="DM150" i="1" s="1"/>
  <c r="DM151" i="1" s="1"/>
  <c r="DM152" i="1" s="1"/>
  <c r="DM153" i="1" s="1"/>
  <c r="DM154" i="1" s="1"/>
  <c r="DM155" i="1" s="1"/>
  <c r="DM156" i="1" s="1"/>
  <c r="DM157" i="1" s="1"/>
  <c r="CU146" i="1"/>
  <c r="AW146" i="1"/>
  <c r="AG146" i="1"/>
  <c r="AE146" i="1"/>
  <c r="AD146" i="1"/>
  <c r="AB146" i="1"/>
  <c r="V146" i="1"/>
  <c r="T146" i="1"/>
  <c r="L146" i="1"/>
  <c r="J146" i="1"/>
  <c r="F146" i="1"/>
  <c r="CU145" i="1"/>
  <c r="AW145" i="1"/>
  <c r="AG145" i="1"/>
  <c r="AE145" i="1"/>
  <c r="Y145" i="1"/>
  <c r="CU144" i="1"/>
  <c r="AW144" i="1"/>
  <c r="AG144" i="1"/>
  <c r="AE144" i="1"/>
  <c r="Y144" i="1"/>
  <c r="CU143" i="1"/>
  <c r="AW143" i="1"/>
  <c r="AG143" i="1"/>
  <c r="AE143" i="1"/>
  <c r="Y143" i="1"/>
  <c r="CU142" i="1"/>
  <c r="AW142" i="1"/>
  <c r="AG142" i="1"/>
  <c r="AE142" i="1"/>
  <c r="Y142" i="1"/>
  <c r="CU141" i="1"/>
  <c r="AW141" i="1"/>
  <c r="AG141" i="1"/>
  <c r="AE141" i="1"/>
  <c r="Y141" i="1"/>
  <c r="CU140" i="1"/>
  <c r="AW140" i="1"/>
  <c r="AG140" i="1"/>
  <c r="AE140" i="1"/>
  <c r="Y140" i="1"/>
  <c r="CU139" i="1"/>
  <c r="AW139" i="1"/>
  <c r="AG139" i="1"/>
  <c r="AE139" i="1"/>
  <c r="Y139" i="1"/>
  <c r="CU138" i="1"/>
  <c r="AW138" i="1"/>
  <c r="AG138" i="1"/>
  <c r="AE138" i="1"/>
  <c r="Y138" i="1"/>
  <c r="CU137" i="1"/>
  <c r="AW137" i="1"/>
  <c r="AG137" i="1"/>
  <c r="AE137" i="1"/>
  <c r="Y137" i="1"/>
  <c r="CU136" i="1"/>
  <c r="AW136" i="1"/>
  <c r="AG136" i="1"/>
  <c r="AE136" i="1"/>
  <c r="Y136" i="1"/>
  <c r="CU135" i="1"/>
  <c r="AW135" i="1"/>
  <c r="AG135" i="1"/>
  <c r="AE135" i="1"/>
  <c r="Y135" i="1"/>
  <c r="DP134" i="1"/>
  <c r="DP135" i="1" s="1"/>
  <c r="DP136" i="1" s="1"/>
  <c r="DP137" i="1" s="1"/>
  <c r="DP138" i="1" s="1"/>
  <c r="DP139" i="1" s="1"/>
  <c r="DP140" i="1" s="1"/>
  <c r="DP141" i="1" s="1"/>
  <c r="DP142" i="1" s="1"/>
  <c r="DP143" i="1" s="1"/>
  <c r="DP144" i="1" s="1"/>
  <c r="DP145" i="1" s="1"/>
  <c r="DM134" i="1"/>
  <c r="DM135" i="1" s="1"/>
  <c r="DM136" i="1" s="1"/>
  <c r="DM137" i="1" s="1"/>
  <c r="DM138" i="1" s="1"/>
  <c r="DM139" i="1" s="1"/>
  <c r="DM140" i="1" s="1"/>
  <c r="DM141" i="1" s="1"/>
  <c r="DM142" i="1" s="1"/>
  <c r="DM143" i="1" s="1"/>
  <c r="DM144" i="1" s="1"/>
  <c r="DM145" i="1" s="1"/>
  <c r="CU134" i="1"/>
  <c r="AW134" i="1"/>
  <c r="AG134" i="1"/>
  <c r="AE134" i="1"/>
  <c r="AD134" i="1"/>
  <c r="AB134" i="1"/>
  <c r="V134" i="1"/>
  <c r="T134" i="1"/>
  <c r="L134" i="1"/>
  <c r="J134" i="1"/>
  <c r="F134" i="1"/>
  <c r="CU133" i="1"/>
  <c r="AW133" i="1"/>
  <c r="AG133" i="1"/>
  <c r="AE133" i="1"/>
  <c r="Y133" i="1"/>
  <c r="CU132" i="1"/>
  <c r="AW132" i="1"/>
  <c r="AG132" i="1"/>
  <c r="AE132" i="1"/>
  <c r="Y132" i="1"/>
  <c r="CU131" i="1"/>
  <c r="AW131" i="1"/>
  <c r="AG131" i="1"/>
  <c r="AE131" i="1"/>
  <c r="Y131" i="1"/>
  <c r="CU130" i="1"/>
  <c r="AW130" i="1"/>
  <c r="AG130" i="1"/>
  <c r="AE130" i="1"/>
  <c r="Y130" i="1"/>
  <c r="CU129" i="1"/>
  <c r="AW129" i="1"/>
  <c r="AG129" i="1"/>
  <c r="AE129" i="1"/>
  <c r="Y129" i="1"/>
  <c r="CU128" i="1"/>
  <c r="AW128" i="1"/>
  <c r="AG128" i="1"/>
  <c r="AE128" i="1"/>
  <c r="Y128" i="1"/>
  <c r="CU127" i="1"/>
  <c r="AW127" i="1"/>
  <c r="AG127" i="1"/>
  <c r="AE127" i="1"/>
  <c r="Y127" i="1"/>
  <c r="CU126" i="1"/>
  <c r="AW126" i="1"/>
  <c r="AG126" i="1"/>
  <c r="AE126" i="1"/>
  <c r="Y126" i="1"/>
  <c r="CU125" i="1"/>
  <c r="AW125" i="1"/>
  <c r="AG125" i="1"/>
  <c r="AE125" i="1"/>
  <c r="Y125" i="1"/>
  <c r="CU124" i="1"/>
  <c r="AW124" i="1"/>
  <c r="AG124" i="1"/>
  <c r="AE124" i="1"/>
  <c r="Y124" i="1"/>
  <c r="CU123" i="1"/>
  <c r="AW123" i="1"/>
  <c r="AG123" i="1"/>
  <c r="AE123" i="1"/>
  <c r="Y123" i="1"/>
  <c r="DP122" i="1"/>
  <c r="DP123" i="1" s="1"/>
  <c r="DP124" i="1" s="1"/>
  <c r="DP125" i="1" s="1"/>
  <c r="DP126" i="1" s="1"/>
  <c r="DP127" i="1" s="1"/>
  <c r="DP128" i="1" s="1"/>
  <c r="DP129" i="1" s="1"/>
  <c r="DP130" i="1" s="1"/>
  <c r="DP131" i="1" s="1"/>
  <c r="DP132" i="1" s="1"/>
  <c r="DP133" i="1" s="1"/>
  <c r="DM122" i="1"/>
  <c r="DM123" i="1" s="1"/>
  <c r="DM124" i="1" s="1"/>
  <c r="DM125" i="1" s="1"/>
  <c r="DM126" i="1" s="1"/>
  <c r="DM127" i="1" s="1"/>
  <c r="DM128" i="1" s="1"/>
  <c r="DM129" i="1" s="1"/>
  <c r="DM130" i="1" s="1"/>
  <c r="DM131" i="1" s="1"/>
  <c r="DM132" i="1" s="1"/>
  <c r="DM133" i="1" s="1"/>
  <c r="CU122" i="1"/>
  <c r="AW122" i="1"/>
  <c r="AG122" i="1"/>
  <c r="AE122" i="1"/>
  <c r="AD122" i="1"/>
  <c r="AB122" i="1"/>
  <c r="V122" i="1"/>
  <c r="T122" i="1"/>
  <c r="L122" i="1"/>
  <c r="J122" i="1"/>
  <c r="F122" i="1"/>
  <c r="CU121" i="1"/>
  <c r="AW121" i="1"/>
  <c r="AG121" i="1"/>
  <c r="AE121" i="1"/>
  <c r="Y121" i="1"/>
  <c r="CU120" i="1"/>
  <c r="AW120" i="1"/>
  <c r="AG120" i="1"/>
  <c r="AE120" i="1"/>
  <c r="Y120" i="1"/>
  <c r="CU119" i="1"/>
  <c r="AW119" i="1"/>
  <c r="AG119" i="1"/>
  <c r="AE119" i="1"/>
  <c r="Y119" i="1"/>
  <c r="CU118" i="1"/>
  <c r="AW118" i="1"/>
  <c r="AG118" i="1"/>
  <c r="AE118" i="1"/>
  <c r="Y118" i="1"/>
  <c r="CU117" i="1"/>
  <c r="AW117" i="1"/>
  <c r="AG117" i="1"/>
  <c r="AE117" i="1"/>
  <c r="Y117" i="1"/>
  <c r="CU116" i="1"/>
  <c r="AW116" i="1"/>
  <c r="AG116" i="1"/>
  <c r="AE116" i="1"/>
  <c r="Y116" i="1"/>
  <c r="CU115" i="1"/>
  <c r="AW115" i="1"/>
  <c r="AG115" i="1"/>
  <c r="AE115" i="1"/>
  <c r="Y115" i="1"/>
  <c r="CU114" i="1"/>
  <c r="AW114" i="1"/>
  <c r="AG114" i="1"/>
  <c r="AE114" i="1"/>
  <c r="Y114" i="1"/>
  <c r="CU113" i="1"/>
  <c r="AW113" i="1"/>
  <c r="AG113" i="1"/>
  <c r="AE113" i="1"/>
  <c r="Y113" i="1"/>
  <c r="CU112" i="1"/>
  <c r="AW112" i="1"/>
  <c r="AG112" i="1"/>
  <c r="AE112" i="1"/>
  <c r="Y112" i="1"/>
  <c r="CU111" i="1"/>
  <c r="AW111" i="1"/>
  <c r="AG111" i="1"/>
  <c r="AE111" i="1"/>
  <c r="Y111" i="1"/>
  <c r="DP110" i="1"/>
  <c r="DP111" i="1" s="1"/>
  <c r="DP112" i="1" s="1"/>
  <c r="DP113" i="1" s="1"/>
  <c r="DP114" i="1" s="1"/>
  <c r="DP115" i="1" s="1"/>
  <c r="DP116" i="1" s="1"/>
  <c r="DP117" i="1" s="1"/>
  <c r="DP118" i="1" s="1"/>
  <c r="DP119" i="1" s="1"/>
  <c r="DP120" i="1" s="1"/>
  <c r="DP121" i="1" s="1"/>
  <c r="DM110" i="1"/>
  <c r="DM111" i="1" s="1"/>
  <c r="DM112" i="1" s="1"/>
  <c r="DM113" i="1" s="1"/>
  <c r="DM114" i="1" s="1"/>
  <c r="DM115" i="1" s="1"/>
  <c r="DM116" i="1" s="1"/>
  <c r="DM117" i="1" s="1"/>
  <c r="DM118" i="1" s="1"/>
  <c r="DM119" i="1" s="1"/>
  <c r="DM120" i="1" s="1"/>
  <c r="DM121" i="1" s="1"/>
  <c r="CU110" i="1"/>
  <c r="AW110" i="1"/>
  <c r="AG110" i="1"/>
  <c r="AE110" i="1"/>
  <c r="AD110" i="1"/>
  <c r="AB110" i="1"/>
  <c r="V110" i="1"/>
  <c r="T110" i="1"/>
  <c r="L110" i="1"/>
  <c r="J110" i="1"/>
  <c r="F110" i="1"/>
  <c r="CU109" i="1"/>
  <c r="AW109" i="1"/>
  <c r="AG109" i="1"/>
  <c r="AE109" i="1"/>
  <c r="Y109" i="1"/>
  <c r="CU108" i="1"/>
  <c r="AW108" i="1"/>
  <c r="AG108" i="1"/>
  <c r="AE108" i="1"/>
  <c r="Y108" i="1"/>
  <c r="CU107" i="1"/>
  <c r="AW107" i="1"/>
  <c r="AG107" i="1"/>
  <c r="AE107" i="1"/>
  <c r="Y107" i="1"/>
  <c r="CU106" i="1"/>
  <c r="AW106" i="1"/>
  <c r="AG106" i="1"/>
  <c r="AE106" i="1"/>
  <c r="Y106" i="1"/>
  <c r="CU105" i="1"/>
  <c r="AW105" i="1"/>
  <c r="AG105" i="1"/>
  <c r="AE105" i="1"/>
  <c r="Y105" i="1"/>
  <c r="CU104" i="1"/>
  <c r="AW104" i="1"/>
  <c r="AG104" i="1"/>
  <c r="AE104" i="1"/>
  <c r="Y104" i="1"/>
  <c r="CU103" i="1"/>
  <c r="AW103" i="1"/>
  <c r="AG103" i="1"/>
  <c r="AE103" i="1"/>
  <c r="Y103" i="1"/>
  <c r="CU102" i="1"/>
  <c r="AW102" i="1"/>
  <c r="AG102" i="1"/>
  <c r="AE102" i="1"/>
  <c r="Y102" i="1"/>
  <c r="CU101" i="1"/>
  <c r="AW101" i="1"/>
  <c r="AG101" i="1"/>
  <c r="AE101" i="1"/>
  <c r="Y101" i="1"/>
  <c r="CU100" i="1"/>
  <c r="AW100" i="1"/>
  <c r="AG100" i="1"/>
  <c r="AE100" i="1"/>
  <c r="Y100" i="1"/>
  <c r="CU99" i="1"/>
  <c r="AW99" i="1"/>
  <c r="AG99" i="1"/>
  <c r="AE99" i="1"/>
  <c r="Y99" i="1"/>
  <c r="DP98" i="1"/>
  <c r="DP99" i="1" s="1"/>
  <c r="DP100" i="1" s="1"/>
  <c r="DP101" i="1" s="1"/>
  <c r="DP102" i="1" s="1"/>
  <c r="DP103" i="1" s="1"/>
  <c r="DP104" i="1" s="1"/>
  <c r="DP105" i="1" s="1"/>
  <c r="DP106" i="1" s="1"/>
  <c r="DP107" i="1" s="1"/>
  <c r="DP108" i="1" s="1"/>
  <c r="DP109" i="1" s="1"/>
  <c r="DM98" i="1"/>
  <c r="DM99" i="1" s="1"/>
  <c r="DM100" i="1" s="1"/>
  <c r="DM101" i="1" s="1"/>
  <c r="DM102" i="1" s="1"/>
  <c r="DM103" i="1" s="1"/>
  <c r="DM104" i="1" s="1"/>
  <c r="DM105" i="1" s="1"/>
  <c r="DM106" i="1" s="1"/>
  <c r="DM107" i="1" s="1"/>
  <c r="DM108" i="1" s="1"/>
  <c r="DM109" i="1" s="1"/>
  <c r="CU98" i="1"/>
  <c r="AW98" i="1"/>
  <c r="AG98" i="1"/>
  <c r="AE98" i="1"/>
  <c r="AD98" i="1"/>
  <c r="AB98" i="1"/>
  <c r="V98" i="1"/>
  <c r="T98" i="1"/>
  <c r="Y98" i="1"/>
  <c r="L98" i="1"/>
  <c r="J98" i="1"/>
  <c r="F98" i="1"/>
  <c r="CU97" i="1"/>
  <c r="AW97" i="1"/>
  <c r="AG97" i="1"/>
  <c r="AE97" i="1"/>
  <c r="Y97" i="1"/>
  <c r="CU96" i="1"/>
  <c r="AW96" i="1"/>
  <c r="AG96" i="1"/>
  <c r="AE96" i="1"/>
  <c r="Y96" i="1"/>
  <c r="CU95" i="1"/>
  <c r="AW95" i="1"/>
  <c r="AG95" i="1"/>
  <c r="AE95" i="1"/>
  <c r="Y95" i="1"/>
  <c r="CU94" i="1"/>
  <c r="AW94" i="1"/>
  <c r="AG94" i="1"/>
  <c r="AE94" i="1"/>
  <c r="Y94" i="1"/>
  <c r="CU93" i="1"/>
  <c r="AW93" i="1"/>
  <c r="AG93" i="1"/>
  <c r="AE93" i="1"/>
  <c r="Y93" i="1"/>
  <c r="CU92" i="1"/>
  <c r="AW92" i="1"/>
  <c r="AG92" i="1"/>
  <c r="AE92" i="1"/>
  <c r="Y92" i="1"/>
  <c r="CU91" i="1"/>
  <c r="AW91" i="1"/>
  <c r="AG91" i="1"/>
  <c r="AE91" i="1"/>
  <c r="Y91" i="1"/>
  <c r="CU90" i="1"/>
  <c r="AW90" i="1"/>
  <c r="AG90" i="1"/>
  <c r="AE90" i="1"/>
  <c r="Y90" i="1"/>
  <c r="CU89" i="1"/>
  <c r="AW89" i="1"/>
  <c r="AG89" i="1"/>
  <c r="AE89" i="1"/>
  <c r="Y89" i="1"/>
  <c r="CU88" i="1"/>
  <c r="AW88" i="1"/>
  <c r="AG88" i="1"/>
  <c r="AE88" i="1"/>
  <c r="Y88" i="1"/>
  <c r="CU87" i="1"/>
  <c r="AW87" i="1"/>
  <c r="AG87" i="1"/>
  <c r="AE87" i="1"/>
  <c r="Y87" i="1"/>
  <c r="DP86" i="1"/>
  <c r="DP87" i="1" s="1"/>
  <c r="DP88" i="1" s="1"/>
  <c r="DP89" i="1" s="1"/>
  <c r="DP90" i="1" s="1"/>
  <c r="DP91" i="1" s="1"/>
  <c r="DP92" i="1" s="1"/>
  <c r="DP93" i="1" s="1"/>
  <c r="DP94" i="1" s="1"/>
  <c r="DP95" i="1" s="1"/>
  <c r="DP96" i="1" s="1"/>
  <c r="DP97" i="1" s="1"/>
  <c r="DM86" i="1"/>
  <c r="DM87" i="1" s="1"/>
  <c r="DM88" i="1" s="1"/>
  <c r="DM89" i="1" s="1"/>
  <c r="DM90" i="1" s="1"/>
  <c r="DM91" i="1" s="1"/>
  <c r="DM92" i="1" s="1"/>
  <c r="DM93" i="1" s="1"/>
  <c r="DM94" i="1" s="1"/>
  <c r="DM95" i="1" s="1"/>
  <c r="DM96" i="1" s="1"/>
  <c r="DM97" i="1" s="1"/>
  <c r="CU86" i="1"/>
  <c r="AW86" i="1"/>
  <c r="AG86" i="1"/>
  <c r="AE86" i="1"/>
  <c r="AD86" i="1"/>
  <c r="AB86" i="1"/>
  <c r="V86" i="1"/>
  <c r="T86" i="1"/>
  <c r="L86" i="1"/>
  <c r="J86" i="1"/>
  <c r="F86" i="1"/>
  <c r="CU85" i="1"/>
  <c r="AW85" i="1"/>
  <c r="AG85" i="1"/>
  <c r="AE85" i="1"/>
  <c r="Y85" i="1"/>
  <c r="CU84" i="1"/>
  <c r="AW84" i="1"/>
  <c r="AG84" i="1"/>
  <c r="AE84" i="1"/>
  <c r="Y84" i="1"/>
  <c r="CU83" i="1"/>
  <c r="AW83" i="1"/>
  <c r="AG83" i="1"/>
  <c r="AE83" i="1"/>
  <c r="Y83" i="1"/>
  <c r="CU82" i="1"/>
  <c r="AW82" i="1"/>
  <c r="AG82" i="1"/>
  <c r="AE82" i="1"/>
  <c r="Y82" i="1"/>
  <c r="CU81" i="1"/>
  <c r="AW81" i="1"/>
  <c r="AG81" i="1"/>
  <c r="AE81" i="1"/>
  <c r="Y81" i="1"/>
  <c r="CU80" i="1"/>
  <c r="AW80" i="1"/>
  <c r="AG80" i="1"/>
  <c r="AE80" i="1"/>
  <c r="Y80" i="1"/>
  <c r="CU79" i="1"/>
  <c r="AW79" i="1"/>
  <c r="AG79" i="1"/>
  <c r="AE79" i="1"/>
  <c r="Y79" i="1"/>
  <c r="CU78" i="1"/>
  <c r="AW78" i="1"/>
  <c r="AG78" i="1"/>
  <c r="AE78" i="1"/>
  <c r="Y78" i="1"/>
  <c r="CU77" i="1"/>
  <c r="AW77" i="1"/>
  <c r="AG77" i="1"/>
  <c r="AE77" i="1"/>
  <c r="Y77" i="1"/>
  <c r="CU76" i="1"/>
  <c r="AW76" i="1"/>
  <c r="AG76" i="1"/>
  <c r="AE76" i="1"/>
  <c r="Y76" i="1"/>
  <c r="CU75" i="1"/>
  <c r="AW75" i="1"/>
  <c r="AG75" i="1"/>
  <c r="AE75" i="1"/>
  <c r="Y75" i="1"/>
  <c r="DP74" i="1"/>
  <c r="DP75" i="1" s="1"/>
  <c r="DP76" i="1" s="1"/>
  <c r="DP77" i="1" s="1"/>
  <c r="DP78" i="1" s="1"/>
  <c r="DP79" i="1" s="1"/>
  <c r="DP80" i="1" s="1"/>
  <c r="DP81" i="1" s="1"/>
  <c r="DP82" i="1" s="1"/>
  <c r="DP83" i="1" s="1"/>
  <c r="DP84" i="1" s="1"/>
  <c r="DP85" i="1" s="1"/>
  <c r="DM74" i="1"/>
  <c r="DM75" i="1" s="1"/>
  <c r="DM76" i="1" s="1"/>
  <c r="DM77" i="1" s="1"/>
  <c r="DM78" i="1" s="1"/>
  <c r="DM79" i="1" s="1"/>
  <c r="DM80" i="1" s="1"/>
  <c r="DM81" i="1" s="1"/>
  <c r="DM82" i="1" s="1"/>
  <c r="DM83" i="1" s="1"/>
  <c r="DM84" i="1" s="1"/>
  <c r="DM85" i="1" s="1"/>
  <c r="CU74" i="1"/>
  <c r="AW74" i="1"/>
  <c r="AG74" i="1"/>
  <c r="AE74" i="1"/>
  <c r="AD74" i="1"/>
  <c r="AB74" i="1"/>
  <c r="V74" i="1"/>
  <c r="T74" i="1"/>
  <c r="L74" i="1"/>
  <c r="J74" i="1"/>
  <c r="F74" i="1"/>
  <c r="CU73" i="1"/>
  <c r="AW73" i="1"/>
  <c r="AG73" i="1"/>
  <c r="AE73" i="1"/>
  <c r="Y73" i="1"/>
  <c r="CU72" i="1"/>
  <c r="AW72" i="1"/>
  <c r="AG72" i="1"/>
  <c r="AE72" i="1"/>
  <c r="Y72" i="1"/>
  <c r="CU71" i="1"/>
  <c r="AW71" i="1"/>
  <c r="AG71" i="1"/>
  <c r="AE71" i="1"/>
  <c r="Y71" i="1"/>
  <c r="CU70" i="1"/>
  <c r="AW70" i="1"/>
  <c r="AG70" i="1"/>
  <c r="AE70" i="1"/>
  <c r="Y70" i="1"/>
  <c r="CU69" i="1"/>
  <c r="AW69" i="1"/>
  <c r="AG69" i="1"/>
  <c r="AE69" i="1"/>
  <c r="Y69" i="1"/>
  <c r="CU68" i="1"/>
  <c r="AW68" i="1"/>
  <c r="AG68" i="1"/>
  <c r="AE68" i="1"/>
  <c r="Y68" i="1"/>
  <c r="CU67" i="1"/>
  <c r="AW67" i="1"/>
  <c r="AG67" i="1"/>
  <c r="AE67" i="1"/>
  <c r="Y67" i="1"/>
  <c r="CU66" i="1"/>
  <c r="AW66" i="1"/>
  <c r="AG66" i="1"/>
  <c r="AE66" i="1"/>
  <c r="Y66" i="1"/>
  <c r="CU65" i="1"/>
  <c r="AW65" i="1"/>
  <c r="AG65" i="1"/>
  <c r="AE65" i="1"/>
  <c r="Y65" i="1"/>
  <c r="CU64" i="1"/>
  <c r="AW64" i="1"/>
  <c r="AG64" i="1"/>
  <c r="AE64" i="1"/>
  <c r="Y64" i="1"/>
  <c r="CU63" i="1"/>
  <c r="AW63" i="1"/>
  <c r="AG63" i="1"/>
  <c r="AE63" i="1"/>
  <c r="Y63" i="1"/>
  <c r="DP62" i="1"/>
  <c r="DP63" i="1" s="1"/>
  <c r="DP64" i="1" s="1"/>
  <c r="DP65" i="1" s="1"/>
  <c r="DP66" i="1" s="1"/>
  <c r="DP67" i="1" s="1"/>
  <c r="DP68" i="1" s="1"/>
  <c r="DP69" i="1" s="1"/>
  <c r="DP70" i="1" s="1"/>
  <c r="DP71" i="1" s="1"/>
  <c r="DP72" i="1" s="1"/>
  <c r="DP73" i="1" s="1"/>
  <c r="DM62" i="1"/>
  <c r="DM63" i="1" s="1"/>
  <c r="DM64" i="1" s="1"/>
  <c r="DM65" i="1" s="1"/>
  <c r="DM66" i="1" s="1"/>
  <c r="DM67" i="1" s="1"/>
  <c r="DM68" i="1" s="1"/>
  <c r="DM69" i="1" s="1"/>
  <c r="DM70" i="1" s="1"/>
  <c r="DM71" i="1" s="1"/>
  <c r="DM72" i="1" s="1"/>
  <c r="DM73" i="1" s="1"/>
  <c r="CU62" i="1"/>
  <c r="AW62" i="1"/>
  <c r="AG62" i="1"/>
  <c r="AE62" i="1"/>
  <c r="AD62" i="1"/>
  <c r="AB62" i="1"/>
  <c r="V62" i="1"/>
  <c r="T62" i="1"/>
  <c r="L62" i="1"/>
  <c r="J62" i="1"/>
  <c r="F62" i="1"/>
  <c r="CU61" i="1"/>
  <c r="AW61" i="1"/>
  <c r="AG61" i="1"/>
  <c r="AE61" i="1"/>
  <c r="Y61" i="1"/>
  <c r="CU60" i="1"/>
  <c r="AW60" i="1"/>
  <c r="AG60" i="1"/>
  <c r="AE60" i="1"/>
  <c r="Y60" i="1"/>
  <c r="CU59" i="1"/>
  <c r="AW59" i="1"/>
  <c r="AG59" i="1"/>
  <c r="AE59" i="1"/>
  <c r="Y59" i="1"/>
  <c r="CU58" i="1"/>
  <c r="AW58" i="1"/>
  <c r="AG58" i="1"/>
  <c r="AE58" i="1"/>
  <c r="Y58" i="1"/>
  <c r="CU57" i="1"/>
  <c r="AW57" i="1"/>
  <c r="AG57" i="1"/>
  <c r="AE57" i="1"/>
  <c r="Y57" i="1"/>
  <c r="CU56" i="1"/>
  <c r="AW56" i="1"/>
  <c r="AG56" i="1"/>
  <c r="AE56" i="1"/>
  <c r="Y56" i="1"/>
  <c r="CU55" i="1"/>
  <c r="AW55" i="1"/>
  <c r="AG55" i="1"/>
  <c r="AE55" i="1"/>
  <c r="Y55" i="1"/>
  <c r="CU54" i="1"/>
  <c r="AW54" i="1"/>
  <c r="AG54" i="1"/>
  <c r="AE54" i="1"/>
  <c r="Y54" i="1"/>
  <c r="CU53" i="1"/>
  <c r="AW53" i="1"/>
  <c r="AG53" i="1"/>
  <c r="AE53" i="1"/>
  <c r="Y53" i="1"/>
  <c r="CU52" i="1"/>
  <c r="AW52" i="1"/>
  <c r="AG52" i="1"/>
  <c r="AE52" i="1"/>
  <c r="Y52" i="1"/>
  <c r="CU51" i="1"/>
  <c r="AW51" i="1"/>
  <c r="AG51" i="1"/>
  <c r="AE51" i="1"/>
  <c r="Y51" i="1"/>
  <c r="DP50" i="1"/>
  <c r="DP51" i="1" s="1"/>
  <c r="DP52" i="1" s="1"/>
  <c r="DP53" i="1" s="1"/>
  <c r="DP54" i="1" s="1"/>
  <c r="DP55" i="1" s="1"/>
  <c r="DP56" i="1" s="1"/>
  <c r="DP57" i="1" s="1"/>
  <c r="DP58" i="1" s="1"/>
  <c r="DP59" i="1" s="1"/>
  <c r="DP60" i="1" s="1"/>
  <c r="DP61" i="1" s="1"/>
  <c r="DM50" i="1"/>
  <c r="DM51" i="1" s="1"/>
  <c r="DM52" i="1" s="1"/>
  <c r="DM53" i="1" s="1"/>
  <c r="DM54" i="1" s="1"/>
  <c r="DM55" i="1" s="1"/>
  <c r="DM56" i="1" s="1"/>
  <c r="DM57" i="1" s="1"/>
  <c r="DM58" i="1" s="1"/>
  <c r="DM59" i="1" s="1"/>
  <c r="DM60" i="1" s="1"/>
  <c r="DM61" i="1" s="1"/>
  <c r="CU50" i="1"/>
  <c r="AW50" i="1"/>
  <c r="AG50" i="1"/>
  <c r="AE50" i="1"/>
  <c r="AD50" i="1"/>
  <c r="AB50" i="1"/>
  <c r="V50" i="1"/>
  <c r="T50" i="1"/>
  <c r="L50" i="1"/>
  <c r="J50" i="1"/>
  <c r="F50" i="1"/>
  <c r="CC29" i="1" l="1"/>
  <c r="CE29" i="1" s="1"/>
  <c r="CF29" i="1" s="1"/>
  <c r="AQ30" i="1"/>
  <c r="CE28" i="1"/>
  <c r="CF28" i="1" s="1"/>
  <c r="AH158" i="1"/>
  <c r="AF86" i="1"/>
  <c r="AF98" i="1"/>
  <c r="AT291" i="1"/>
  <c r="AF158" i="1"/>
  <c r="AF218" i="1"/>
  <c r="AH146" i="1"/>
  <c r="AF206" i="1"/>
  <c r="AF170" i="1"/>
  <c r="AF230" i="1"/>
  <c r="DJ110" i="1"/>
  <c r="Y110" i="1"/>
  <c r="DH122" i="1"/>
  <c r="DH123" i="1" s="1"/>
  <c r="DH124" i="1" s="1"/>
  <c r="DH125" i="1" s="1"/>
  <c r="DH126" i="1" s="1"/>
  <c r="DH127" i="1" s="1"/>
  <c r="DH128" i="1" s="1"/>
  <c r="DH129" i="1" s="1"/>
  <c r="DH130" i="1" s="1"/>
  <c r="DH131" i="1" s="1"/>
  <c r="DH132" i="1" s="1"/>
  <c r="DH133" i="1" s="1"/>
  <c r="Y122" i="1"/>
  <c r="DJ134" i="1"/>
  <c r="DJ135" i="1" s="1"/>
  <c r="DJ136" i="1" s="1"/>
  <c r="DJ137" i="1" s="1"/>
  <c r="DJ138" i="1" s="1"/>
  <c r="DJ139" i="1" s="1"/>
  <c r="DJ140" i="1" s="1"/>
  <c r="DJ141" i="1" s="1"/>
  <c r="DJ142" i="1" s="1"/>
  <c r="DJ143" i="1" s="1"/>
  <c r="DJ144" i="1" s="1"/>
  <c r="DJ145" i="1" s="1"/>
  <c r="Y134" i="1"/>
  <c r="AF146" i="1"/>
  <c r="AF50" i="1"/>
  <c r="AF62" i="1"/>
  <c r="AF74" i="1"/>
  <c r="AF182" i="1"/>
  <c r="AF194" i="1"/>
  <c r="AH50" i="1"/>
  <c r="AH62" i="1"/>
  <c r="AH74" i="1"/>
  <c r="AH86" i="1"/>
  <c r="AH98" i="1"/>
  <c r="AF110" i="1"/>
  <c r="AF122" i="1"/>
  <c r="AF134" i="1"/>
  <c r="AH170" i="1"/>
  <c r="AH182" i="1"/>
  <c r="AH194" i="1"/>
  <c r="AH206" i="1"/>
  <c r="AH218" i="1"/>
  <c r="AH230" i="1"/>
  <c r="CU254" i="1"/>
  <c r="CT266" i="1"/>
  <c r="AH110" i="1"/>
  <c r="AH122" i="1"/>
  <c r="AH134" i="1"/>
  <c r="DH146" i="1"/>
  <c r="DH147" i="1" s="1"/>
  <c r="DH148" i="1" s="1"/>
  <c r="DH149" i="1" s="1"/>
  <c r="DH150" i="1" s="1"/>
  <c r="DH151" i="1" s="1"/>
  <c r="DH152" i="1" s="1"/>
  <c r="DH153" i="1" s="1"/>
  <c r="DH154" i="1" s="1"/>
  <c r="DH155" i="1" s="1"/>
  <c r="DH156" i="1" s="1"/>
  <c r="DH157" i="1" s="1"/>
  <c r="Y146" i="1"/>
  <c r="DJ158" i="1"/>
  <c r="Y158" i="1"/>
  <c r="DJ50" i="1"/>
  <c r="DJ51" i="1" s="1"/>
  <c r="DJ52" i="1" s="1"/>
  <c r="DJ53" i="1" s="1"/>
  <c r="DJ54" i="1" s="1"/>
  <c r="DJ55" i="1" s="1"/>
  <c r="DJ56" i="1" s="1"/>
  <c r="DJ57" i="1" s="1"/>
  <c r="DJ58" i="1" s="1"/>
  <c r="DJ59" i="1" s="1"/>
  <c r="DJ60" i="1" s="1"/>
  <c r="DJ61" i="1" s="1"/>
  <c r="Y50" i="1"/>
  <c r="DH62" i="1"/>
  <c r="DH63" i="1" s="1"/>
  <c r="DH64" i="1" s="1"/>
  <c r="DH65" i="1" s="1"/>
  <c r="DH66" i="1" s="1"/>
  <c r="DH67" i="1" s="1"/>
  <c r="DH68" i="1" s="1"/>
  <c r="DH69" i="1" s="1"/>
  <c r="DH70" i="1" s="1"/>
  <c r="DH71" i="1" s="1"/>
  <c r="DH72" i="1" s="1"/>
  <c r="DH73" i="1" s="1"/>
  <c r="Y62" i="1"/>
  <c r="DH74" i="1"/>
  <c r="DH75" i="1" s="1"/>
  <c r="DH76" i="1" s="1"/>
  <c r="DH77" i="1" s="1"/>
  <c r="DH78" i="1" s="1"/>
  <c r="DH79" i="1" s="1"/>
  <c r="DH80" i="1" s="1"/>
  <c r="DH81" i="1" s="1"/>
  <c r="DH82" i="1" s="1"/>
  <c r="DH83" i="1" s="1"/>
  <c r="DH84" i="1" s="1"/>
  <c r="DH85" i="1" s="1"/>
  <c r="Y74" i="1"/>
  <c r="N86" i="1"/>
  <c r="Z86" i="1" s="1"/>
  <c r="Y86" i="1"/>
  <c r="DJ170" i="1"/>
  <c r="DJ171" i="1" s="1"/>
  <c r="DJ172" i="1" s="1"/>
  <c r="DJ173" i="1" s="1"/>
  <c r="DJ174" i="1" s="1"/>
  <c r="DJ175" i="1" s="1"/>
  <c r="DJ176" i="1" s="1"/>
  <c r="DJ177" i="1" s="1"/>
  <c r="DJ178" i="1" s="1"/>
  <c r="DJ179" i="1" s="1"/>
  <c r="DJ180" i="1" s="1"/>
  <c r="DJ181" i="1" s="1"/>
  <c r="Y170" i="1"/>
  <c r="DH182" i="1"/>
  <c r="DH183" i="1" s="1"/>
  <c r="DH184" i="1" s="1"/>
  <c r="DH185" i="1" s="1"/>
  <c r="DH186" i="1" s="1"/>
  <c r="DH187" i="1" s="1"/>
  <c r="DH188" i="1" s="1"/>
  <c r="DH189" i="1" s="1"/>
  <c r="DH190" i="1" s="1"/>
  <c r="DH191" i="1" s="1"/>
  <c r="DH192" i="1" s="1"/>
  <c r="DH193" i="1" s="1"/>
  <c r="Y182" i="1"/>
  <c r="DJ194" i="1"/>
  <c r="DJ195" i="1" s="1"/>
  <c r="DJ196" i="1" s="1"/>
  <c r="DJ197" i="1" s="1"/>
  <c r="DJ198" i="1" s="1"/>
  <c r="DJ199" i="1" s="1"/>
  <c r="DJ200" i="1" s="1"/>
  <c r="DJ201" i="1" s="1"/>
  <c r="DJ202" i="1" s="1"/>
  <c r="DJ203" i="1" s="1"/>
  <c r="DJ204" i="1" s="1"/>
  <c r="DJ205" i="1" s="1"/>
  <c r="Y194" i="1"/>
  <c r="DJ206" i="1"/>
  <c r="DJ207" i="1" s="1"/>
  <c r="DJ208" i="1" s="1"/>
  <c r="DJ209" i="1" s="1"/>
  <c r="DJ210" i="1" s="1"/>
  <c r="DJ211" i="1" s="1"/>
  <c r="DJ212" i="1" s="1"/>
  <c r="DJ213" i="1" s="1"/>
  <c r="DJ214" i="1" s="1"/>
  <c r="DJ215" i="1" s="1"/>
  <c r="DJ216" i="1" s="1"/>
  <c r="DJ217" i="1" s="1"/>
  <c r="Y206" i="1"/>
  <c r="DJ218" i="1"/>
  <c r="DJ219" i="1" s="1"/>
  <c r="DJ220" i="1" s="1"/>
  <c r="DJ221" i="1" s="1"/>
  <c r="DJ222" i="1" s="1"/>
  <c r="DJ223" i="1" s="1"/>
  <c r="DJ224" i="1" s="1"/>
  <c r="DJ225" i="1" s="1"/>
  <c r="DJ226" i="1" s="1"/>
  <c r="DJ227" i="1" s="1"/>
  <c r="DJ228" i="1" s="1"/>
  <c r="DJ229" i="1" s="1"/>
  <c r="Y218" i="1"/>
  <c r="N230" i="1"/>
  <c r="Z230" i="1" s="1"/>
  <c r="AX230" i="1"/>
  <c r="AX62" i="1"/>
  <c r="DJ182" i="1"/>
  <c r="DJ183" i="1" s="1"/>
  <c r="DJ184" i="1" s="1"/>
  <c r="DJ185" i="1" s="1"/>
  <c r="DJ186" i="1" s="1"/>
  <c r="DJ187" i="1" s="1"/>
  <c r="DJ188" i="1" s="1"/>
  <c r="DJ189" i="1" s="1"/>
  <c r="DJ190" i="1" s="1"/>
  <c r="DJ191" i="1" s="1"/>
  <c r="DJ192" i="1" s="1"/>
  <c r="DJ193" i="1" s="1"/>
  <c r="DH158" i="1"/>
  <c r="DH159" i="1" s="1"/>
  <c r="DH160" i="1" s="1"/>
  <c r="DH161" i="1" s="1"/>
  <c r="DH162" i="1" s="1"/>
  <c r="DH163" i="1" s="1"/>
  <c r="DH164" i="1" s="1"/>
  <c r="DH165" i="1" s="1"/>
  <c r="DH166" i="1" s="1"/>
  <c r="DH167" i="1" s="1"/>
  <c r="DH168" i="1" s="1"/>
  <c r="DH169" i="1" s="1"/>
  <c r="DJ111" i="1"/>
  <c r="DJ112" i="1" s="1"/>
  <c r="DJ113" i="1" s="1"/>
  <c r="DJ114" i="1" s="1"/>
  <c r="DJ115" i="1" s="1"/>
  <c r="DJ116" i="1" s="1"/>
  <c r="DJ117" i="1" s="1"/>
  <c r="DJ118" i="1" s="1"/>
  <c r="DJ119" i="1" s="1"/>
  <c r="DJ120" i="1" s="1"/>
  <c r="DJ121" i="1" s="1"/>
  <c r="DH218" i="1"/>
  <c r="DH219" i="1" s="1"/>
  <c r="DH220" i="1" s="1"/>
  <c r="DH221" i="1" s="1"/>
  <c r="DH222" i="1" s="1"/>
  <c r="DH223" i="1" s="1"/>
  <c r="DH224" i="1" s="1"/>
  <c r="DH225" i="1" s="1"/>
  <c r="DH226" i="1" s="1"/>
  <c r="DH227" i="1" s="1"/>
  <c r="DH228" i="1" s="1"/>
  <c r="DH229" i="1" s="1"/>
  <c r="AX134" i="1"/>
  <c r="DH206" i="1"/>
  <c r="DH207" i="1" s="1"/>
  <c r="DH208" i="1" s="1"/>
  <c r="DH209" i="1" s="1"/>
  <c r="DH210" i="1" s="1"/>
  <c r="DH211" i="1" s="1"/>
  <c r="DH212" i="1" s="1"/>
  <c r="DH213" i="1" s="1"/>
  <c r="DH214" i="1" s="1"/>
  <c r="DH215" i="1" s="1"/>
  <c r="DH216" i="1" s="1"/>
  <c r="DH217" i="1" s="1"/>
  <c r="AX206" i="1"/>
  <c r="DJ74" i="1"/>
  <c r="DJ75" i="1" s="1"/>
  <c r="DJ76" i="1" s="1"/>
  <c r="DJ77" i="1" s="1"/>
  <c r="DJ78" i="1" s="1"/>
  <c r="DJ79" i="1" s="1"/>
  <c r="DJ80" i="1" s="1"/>
  <c r="DJ81" i="1" s="1"/>
  <c r="DJ82" i="1" s="1"/>
  <c r="DJ83" i="1" s="1"/>
  <c r="DJ84" i="1" s="1"/>
  <c r="DJ85" i="1" s="1"/>
  <c r="DH110" i="1"/>
  <c r="DH111" i="1" s="1"/>
  <c r="DH112" i="1" s="1"/>
  <c r="DH113" i="1" s="1"/>
  <c r="DH114" i="1" s="1"/>
  <c r="DH115" i="1" s="1"/>
  <c r="DH116" i="1" s="1"/>
  <c r="DH117" i="1" s="1"/>
  <c r="DH118" i="1" s="1"/>
  <c r="DH119" i="1" s="1"/>
  <c r="DH120" i="1" s="1"/>
  <c r="DH121" i="1" s="1"/>
  <c r="DJ159" i="1"/>
  <c r="DJ160" i="1" s="1"/>
  <c r="DJ161" i="1" s="1"/>
  <c r="DJ162" i="1" s="1"/>
  <c r="DJ163" i="1" s="1"/>
  <c r="DJ164" i="1" s="1"/>
  <c r="DJ165" i="1" s="1"/>
  <c r="DJ166" i="1" s="1"/>
  <c r="DJ167" i="1" s="1"/>
  <c r="DJ168" i="1" s="1"/>
  <c r="DJ169" i="1" s="1"/>
  <c r="AX98" i="1"/>
  <c r="DH194" i="1"/>
  <c r="DH195" i="1" s="1"/>
  <c r="DH196" i="1" s="1"/>
  <c r="DH197" i="1" s="1"/>
  <c r="DH198" i="1" s="1"/>
  <c r="DH199" i="1" s="1"/>
  <c r="DH200" i="1" s="1"/>
  <c r="DH201" i="1" s="1"/>
  <c r="DH202" i="1" s="1"/>
  <c r="DH203" i="1" s="1"/>
  <c r="DH204" i="1" s="1"/>
  <c r="DH205" i="1" s="1"/>
  <c r="AX122" i="1"/>
  <c r="AX218" i="1"/>
  <c r="AX50" i="1"/>
  <c r="AX110" i="1"/>
  <c r="DH134" i="1"/>
  <c r="DH135" i="1" s="1"/>
  <c r="DH136" i="1" s="1"/>
  <c r="DH137" i="1" s="1"/>
  <c r="DH138" i="1" s="1"/>
  <c r="DH139" i="1" s="1"/>
  <c r="DH140" i="1" s="1"/>
  <c r="DH141" i="1" s="1"/>
  <c r="DH142" i="1" s="1"/>
  <c r="DH143" i="1" s="1"/>
  <c r="DH144" i="1" s="1"/>
  <c r="DH145" i="1" s="1"/>
  <c r="AX158" i="1"/>
  <c r="N218" i="1"/>
  <c r="Z218" i="1" s="1"/>
  <c r="AX194" i="1"/>
  <c r="N74" i="1"/>
  <c r="Z74" i="1" s="1"/>
  <c r="AX74" i="1"/>
  <c r="AX86" i="1"/>
  <c r="N146" i="1"/>
  <c r="Z146" i="1" s="1"/>
  <c r="DJ122" i="1"/>
  <c r="DJ123" i="1" s="1"/>
  <c r="DJ124" i="1" s="1"/>
  <c r="DJ125" i="1" s="1"/>
  <c r="DJ126" i="1" s="1"/>
  <c r="DJ127" i="1" s="1"/>
  <c r="DJ128" i="1" s="1"/>
  <c r="DJ129" i="1" s="1"/>
  <c r="DJ130" i="1" s="1"/>
  <c r="DJ131" i="1" s="1"/>
  <c r="DJ132" i="1" s="1"/>
  <c r="DJ133" i="1" s="1"/>
  <c r="AX146" i="1"/>
  <c r="AX170" i="1"/>
  <c r="AX182" i="1"/>
  <c r="DJ146" i="1"/>
  <c r="DJ147" i="1" s="1"/>
  <c r="DJ148" i="1" s="1"/>
  <c r="DJ149" i="1" s="1"/>
  <c r="DJ150" i="1" s="1"/>
  <c r="DJ151" i="1" s="1"/>
  <c r="DJ152" i="1" s="1"/>
  <c r="DJ153" i="1" s="1"/>
  <c r="DJ154" i="1" s="1"/>
  <c r="DJ155" i="1" s="1"/>
  <c r="DJ156" i="1" s="1"/>
  <c r="DJ157" i="1" s="1"/>
  <c r="N194" i="1"/>
  <c r="Z194" i="1" s="1"/>
  <c r="DH230" i="1"/>
  <c r="DH231" i="1" s="1"/>
  <c r="DH232" i="1" s="1"/>
  <c r="DH233" i="1" s="1"/>
  <c r="DH234" i="1" s="1"/>
  <c r="DH235" i="1" s="1"/>
  <c r="DH236" i="1" s="1"/>
  <c r="DH237" i="1" s="1"/>
  <c r="DH238" i="1" s="1"/>
  <c r="DH239" i="1" s="1"/>
  <c r="DH240" i="1" s="1"/>
  <c r="DH241" i="1" s="1"/>
  <c r="DJ230" i="1"/>
  <c r="DJ231" i="1" s="1"/>
  <c r="DJ232" i="1" s="1"/>
  <c r="DJ233" i="1" s="1"/>
  <c r="DJ234" i="1" s="1"/>
  <c r="DJ235" i="1" s="1"/>
  <c r="DJ236" i="1" s="1"/>
  <c r="DJ237" i="1" s="1"/>
  <c r="DJ238" i="1" s="1"/>
  <c r="DJ239" i="1" s="1"/>
  <c r="DJ240" i="1" s="1"/>
  <c r="DJ241" i="1" s="1"/>
  <c r="N206" i="1"/>
  <c r="Z206" i="1" s="1"/>
  <c r="N182" i="1"/>
  <c r="Z182" i="1" s="1"/>
  <c r="DH170" i="1"/>
  <c r="DH171" i="1" s="1"/>
  <c r="DH172" i="1" s="1"/>
  <c r="DH173" i="1" s="1"/>
  <c r="DH174" i="1" s="1"/>
  <c r="DH175" i="1" s="1"/>
  <c r="DH176" i="1" s="1"/>
  <c r="DH177" i="1" s="1"/>
  <c r="DH178" i="1" s="1"/>
  <c r="DH179" i="1" s="1"/>
  <c r="DH180" i="1" s="1"/>
  <c r="DH181" i="1" s="1"/>
  <c r="N170" i="1"/>
  <c r="Z170" i="1" s="1"/>
  <c r="N158" i="1"/>
  <c r="Z158" i="1" s="1"/>
  <c r="N134" i="1"/>
  <c r="Z134" i="1" s="1"/>
  <c r="N122" i="1"/>
  <c r="Z122" i="1" s="1"/>
  <c r="N110" i="1"/>
  <c r="Z110" i="1" s="1"/>
  <c r="DH98" i="1"/>
  <c r="DH99" i="1" s="1"/>
  <c r="DH100" i="1" s="1"/>
  <c r="DH101" i="1" s="1"/>
  <c r="DH102" i="1" s="1"/>
  <c r="DH103" i="1" s="1"/>
  <c r="DH104" i="1" s="1"/>
  <c r="DH105" i="1" s="1"/>
  <c r="DH106" i="1" s="1"/>
  <c r="DH107" i="1" s="1"/>
  <c r="DH108" i="1" s="1"/>
  <c r="DH109" i="1" s="1"/>
  <c r="DJ98" i="1"/>
  <c r="DJ99" i="1" s="1"/>
  <c r="DJ100" i="1" s="1"/>
  <c r="DJ101" i="1" s="1"/>
  <c r="DJ102" i="1" s="1"/>
  <c r="DJ103" i="1" s="1"/>
  <c r="DJ104" i="1" s="1"/>
  <c r="DJ105" i="1" s="1"/>
  <c r="DJ106" i="1" s="1"/>
  <c r="DJ107" i="1" s="1"/>
  <c r="DJ108" i="1" s="1"/>
  <c r="DJ109" i="1" s="1"/>
  <c r="N98" i="1"/>
  <c r="Z98" i="1" s="1"/>
  <c r="DH86" i="1"/>
  <c r="DH87" i="1" s="1"/>
  <c r="DH88" i="1" s="1"/>
  <c r="DH89" i="1" s="1"/>
  <c r="DH90" i="1" s="1"/>
  <c r="DH91" i="1" s="1"/>
  <c r="DH92" i="1" s="1"/>
  <c r="DH93" i="1" s="1"/>
  <c r="DH94" i="1" s="1"/>
  <c r="DH95" i="1" s="1"/>
  <c r="DH96" i="1" s="1"/>
  <c r="DH97" i="1" s="1"/>
  <c r="DJ86" i="1"/>
  <c r="DJ87" i="1" s="1"/>
  <c r="DJ88" i="1" s="1"/>
  <c r="DJ89" i="1" s="1"/>
  <c r="DJ90" i="1" s="1"/>
  <c r="DJ91" i="1" s="1"/>
  <c r="DJ92" i="1" s="1"/>
  <c r="DJ93" i="1" s="1"/>
  <c r="DJ94" i="1" s="1"/>
  <c r="DJ95" i="1" s="1"/>
  <c r="DJ96" i="1" s="1"/>
  <c r="DJ97" i="1" s="1"/>
  <c r="DJ62" i="1"/>
  <c r="DJ63" i="1" s="1"/>
  <c r="DJ64" i="1" s="1"/>
  <c r="DJ65" i="1" s="1"/>
  <c r="DJ66" i="1" s="1"/>
  <c r="DJ67" i="1" s="1"/>
  <c r="DJ68" i="1" s="1"/>
  <c r="DJ69" i="1" s="1"/>
  <c r="DJ70" i="1" s="1"/>
  <c r="DJ71" i="1" s="1"/>
  <c r="DJ72" i="1" s="1"/>
  <c r="DJ73" i="1" s="1"/>
  <c r="N62" i="1"/>
  <c r="Z62" i="1" s="1"/>
  <c r="N50" i="1"/>
  <c r="Z50" i="1" s="1"/>
  <c r="DH50" i="1"/>
  <c r="DH51" i="1" s="1"/>
  <c r="DH52" i="1" s="1"/>
  <c r="DH53" i="1" s="1"/>
  <c r="DH54" i="1" s="1"/>
  <c r="DH55" i="1" s="1"/>
  <c r="DH56" i="1" s="1"/>
  <c r="DH57" i="1" s="1"/>
  <c r="DH58" i="1" s="1"/>
  <c r="DH59" i="1" s="1"/>
  <c r="DH60" i="1" s="1"/>
  <c r="DH61" i="1" s="1"/>
  <c r="CC30" i="1" l="1"/>
  <c r="AQ31" i="1"/>
  <c r="AT292" i="1"/>
  <c r="AT293" i="1" s="1"/>
  <c r="AT294" i="1" s="1"/>
  <c r="AT295" i="1" s="1"/>
  <c r="AT296" i="1" s="1"/>
  <c r="AT297" i="1" s="1"/>
  <c r="AT298" i="1" s="1"/>
  <c r="AT299" i="1" s="1"/>
  <c r="AT300" i="1" s="1"/>
  <c r="AT301" i="1" s="1"/>
  <c r="CT278" i="1"/>
  <c r="CU266" i="1"/>
  <c r="CC31" i="1" l="1"/>
  <c r="CE31" i="1" s="1"/>
  <c r="CF31" i="1" s="1"/>
  <c r="AQ32" i="1"/>
  <c r="CE30" i="1"/>
  <c r="CF30" i="1" s="1"/>
  <c r="CU278" i="1"/>
  <c r="CT290" i="1"/>
  <c r="CU290" i="1" s="1"/>
  <c r="CM275" i="1"/>
  <c r="CM250" i="1"/>
  <c r="CM246" i="1"/>
  <c r="CM242" i="1"/>
  <c r="CM287" i="1"/>
  <c r="CM276" i="1"/>
  <c r="CM264" i="1"/>
  <c r="CM260" i="1"/>
  <c r="CM257" i="1"/>
  <c r="CM254" i="1"/>
  <c r="CM299" i="1"/>
  <c r="CM295" i="1"/>
  <c r="CM283" i="1"/>
  <c r="CM271" i="1"/>
  <c r="CM300" i="1"/>
  <c r="CM256" i="1"/>
  <c r="CM251" i="1"/>
  <c r="CM247" i="1"/>
  <c r="CM284" i="1"/>
  <c r="CM272" i="1"/>
  <c r="CM252" i="1"/>
  <c r="CM296" i="1"/>
  <c r="CM288" i="1"/>
  <c r="CM261" i="1"/>
  <c r="CM292" i="1"/>
  <c r="CM280" i="1"/>
  <c r="CM277" i="1"/>
  <c r="CM273" i="1"/>
  <c r="CM268" i="1"/>
  <c r="CM267" i="1"/>
  <c r="CM265" i="1"/>
  <c r="CM255" i="1"/>
  <c r="CM248" i="1"/>
  <c r="CM281" i="1"/>
  <c r="CM279" i="1"/>
  <c r="CM262" i="1"/>
  <c r="CM253" i="1"/>
  <c r="CM244" i="1"/>
  <c r="CM243" i="1"/>
  <c r="CM266" i="1"/>
  <c r="CM249" i="1"/>
  <c r="CM297" i="1"/>
  <c r="CM291" i="1"/>
  <c r="CM289" i="1"/>
  <c r="CM285" i="1"/>
  <c r="CM269" i="1"/>
  <c r="CM258" i="1"/>
  <c r="CM245" i="1"/>
  <c r="CM259" i="1"/>
  <c r="CM301" i="1"/>
  <c r="CM293" i="1"/>
  <c r="CM290" i="1"/>
  <c r="CM278" i="1"/>
  <c r="CM274" i="1"/>
  <c r="CM298" i="1"/>
  <c r="CM294" i="1"/>
  <c r="CM286" i="1"/>
  <c r="CM282" i="1"/>
  <c r="CM270" i="1"/>
  <c r="CM263" i="1"/>
  <c r="CP299" i="1"/>
  <c r="CP295" i="1"/>
  <c r="CP287" i="1"/>
  <c r="CP283" i="1"/>
  <c r="CP276" i="1"/>
  <c r="CP271" i="1"/>
  <c r="CP264" i="1"/>
  <c r="CP260" i="1"/>
  <c r="CP256" i="1"/>
  <c r="CP251" i="1"/>
  <c r="CP247" i="1"/>
  <c r="CP255" i="1"/>
  <c r="CP300" i="1"/>
  <c r="CP296" i="1"/>
  <c r="CP288" i="1"/>
  <c r="CP284" i="1"/>
  <c r="CP272" i="1"/>
  <c r="CP261" i="1"/>
  <c r="CP257" i="1"/>
  <c r="CP254" i="1"/>
  <c r="CP252" i="1"/>
  <c r="CP277" i="1"/>
  <c r="CP273" i="1"/>
  <c r="CP268" i="1"/>
  <c r="CP267" i="1"/>
  <c r="CP265" i="1"/>
  <c r="CP248" i="1"/>
  <c r="CP242" i="1"/>
  <c r="CP292" i="1"/>
  <c r="CP280" i="1"/>
  <c r="CP297" i="1"/>
  <c r="CP291" i="1"/>
  <c r="CP289" i="1"/>
  <c r="CP285" i="1"/>
  <c r="CP281" i="1"/>
  <c r="CP279" i="1"/>
  <c r="CP269" i="1"/>
  <c r="CP262" i="1"/>
  <c r="CP258" i="1"/>
  <c r="CP253" i="1"/>
  <c r="CP244" i="1"/>
  <c r="CP243" i="1"/>
  <c r="CP278" i="1"/>
  <c r="CP274" i="1"/>
  <c r="CP249" i="1"/>
  <c r="CP245" i="1"/>
  <c r="CP263" i="1"/>
  <c r="CP259" i="1"/>
  <c r="CP301" i="1"/>
  <c r="CP293" i="1"/>
  <c r="CP290" i="1"/>
  <c r="CP266" i="1"/>
  <c r="CP298" i="1"/>
  <c r="CP294" i="1"/>
  <c r="CP286" i="1"/>
  <c r="CP282" i="1"/>
  <c r="CP270" i="1"/>
  <c r="CP275" i="1"/>
  <c r="CP250" i="1"/>
  <c r="CP246" i="1"/>
  <c r="CM230" i="1"/>
  <c r="CM227" i="1"/>
  <c r="CM215" i="1"/>
  <c r="CM213" i="1"/>
  <c r="CM211" i="1"/>
  <c r="CM209" i="1"/>
  <c r="CM206" i="1"/>
  <c r="CM196" i="1"/>
  <c r="CM160" i="1"/>
  <c r="CM146" i="1"/>
  <c r="CM134" i="1"/>
  <c r="CM120" i="1"/>
  <c r="CM118" i="1"/>
  <c r="CM116" i="1"/>
  <c r="CM114" i="1"/>
  <c r="CM112" i="1"/>
  <c r="CM71" i="1"/>
  <c r="CM69" i="1"/>
  <c r="CM67" i="1"/>
  <c r="CM65" i="1"/>
  <c r="CM85" i="1"/>
  <c r="CM74" i="1"/>
  <c r="CM62" i="1"/>
  <c r="CM59" i="1"/>
  <c r="CM57" i="1"/>
  <c r="CM55" i="1"/>
  <c r="CM53" i="1"/>
  <c r="CM70" i="1"/>
  <c r="CM68" i="1"/>
  <c r="CM66" i="1"/>
  <c r="CM64" i="1"/>
  <c r="CM237" i="1"/>
  <c r="CM235" i="1"/>
  <c r="CM233" i="1"/>
  <c r="CM219" i="1"/>
  <c r="CM207" i="1"/>
  <c r="CM194" i="1"/>
  <c r="CM191" i="1"/>
  <c r="CM178" i="1"/>
  <c r="CM176" i="1"/>
  <c r="CM174" i="1"/>
  <c r="CM171" i="1"/>
  <c r="CM156" i="1"/>
  <c r="CM154" i="1"/>
  <c r="CM152" i="1"/>
  <c r="CM150" i="1"/>
  <c r="CM147" i="1"/>
  <c r="CM107" i="1"/>
  <c r="CM105" i="1"/>
  <c r="CM103" i="1"/>
  <c r="CM101" i="1"/>
  <c r="CM97" i="1"/>
  <c r="CM239" i="1"/>
  <c r="CM229" i="1"/>
  <c r="CM217" i="1"/>
  <c r="CM195" i="1"/>
  <c r="CM183" i="1"/>
  <c r="CM172" i="1"/>
  <c r="CM167" i="1"/>
  <c r="CM165" i="1"/>
  <c r="CM163" i="1"/>
  <c r="CM161" i="1"/>
  <c r="CM148" i="1"/>
  <c r="CM141" i="1"/>
  <c r="CM139" i="1"/>
  <c r="CM136" i="1"/>
  <c r="CM135" i="1"/>
  <c r="CM133" i="1"/>
  <c r="CM122" i="1"/>
  <c r="CM109" i="1"/>
  <c r="CM96" i="1"/>
  <c r="CM94" i="1"/>
  <c r="CM92" i="1"/>
  <c r="CM90" i="1"/>
  <c r="CM88" i="1"/>
  <c r="CM231" i="1"/>
  <c r="CM226" i="1"/>
  <c r="CM224" i="1"/>
  <c r="CM222" i="1"/>
  <c r="CM203" i="1"/>
  <c r="CM201" i="1"/>
  <c r="CM199" i="1"/>
  <c r="CM197" i="1"/>
  <c r="CM188" i="1"/>
  <c r="CM186" i="1"/>
  <c r="CM184" i="1"/>
  <c r="CM181" i="1"/>
  <c r="CM180" i="1"/>
  <c r="CM169" i="1"/>
  <c r="CM143" i="1"/>
  <c r="CM137" i="1"/>
  <c r="CM132" i="1"/>
  <c r="CM130" i="1"/>
  <c r="CM128" i="1"/>
  <c r="CM126" i="1"/>
  <c r="CM124" i="1"/>
  <c r="CM123" i="1"/>
  <c r="CM84" i="1"/>
  <c r="CM82" i="1"/>
  <c r="CM80" i="1"/>
  <c r="CM78" i="1"/>
  <c r="CM76" i="1"/>
  <c r="CM75" i="1"/>
  <c r="CM73" i="1"/>
  <c r="CM63" i="1"/>
  <c r="CM220" i="1"/>
  <c r="CM216" i="1"/>
  <c r="CM214" i="1"/>
  <c r="CM212" i="1"/>
  <c r="CM210" i="1"/>
  <c r="CM208" i="1"/>
  <c r="CM158" i="1"/>
  <c r="CM119" i="1"/>
  <c r="CM117" i="1"/>
  <c r="CM115" i="1"/>
  <c r="CM113" i="1"/>
  <c r="CM99" i="1"/>
  <c r="CM98" i="1"/>
  <c r="CM86" i="1"/>
  <c r="CM61" i="1"/>
  <c r="CM110" i="1"/>
  <c r="CM108" i="1"/>
  <c r="CM106" i="1"/>
  <c r="CM104" i="1"/>
  <c r="CM102" i="1"/>
  <c r="CM241" i="1"/>
  <c r="CM238" i="1"/>
  <c r="CM236" i="1"/>
  <c r="CM234" i="1"/>
  <c r="CM232" i="1"/>
  <c r="CM228" i="1"/>
  <c r="CM205" i="1"/>
  <c r="CM193" i="1"/>
  <c r="CM190" i="1"/>
  <c r="CM179" i="1"/>
  <c r="CM177" i="1"/>
  <c r="CM175" i="1"/>
  <c r="CM173" i="1"/>
  <c r="CM155" i="1"/>
  <c r="CM153" i="1"/>
  <c r="CM151" i="1"/>
  <c r="CM149" i="1"/>
  <c r="CM218" i="1"/>
  <c r="CM192" i="1"/>
  <c r="CM182" i="1"/>
  <c r="CM168" i="1"/>
  <c r="CM166" i="1"/>
  <c r="CM164" i="1"/>
  <c r="CM162" i="1"/>
  <c r="CM157" i="1"/>
  <c r="CM145" i="1"/>
  <c r="CM140" i="1"/>
  <c r="CM138" i="1"/>
  <c r="CM121" i="1"/>
  <c r="CM111" i="1"/>
  <c r="CM100" i="1"/>
  <c r="CM95" i="1"/>
  <c r="CM93" i="1"/>
  <c r="CM91" i="1"/>
  <c r="CM89" i="1"/>
  <c r="CM52" i="1"/>
  <c r="CM50" i="1"/>
  <c r="CM144" i="1"/>
  <c r="CM142" i="1"/>
  <c r="CM131" i="1"/>
  <c r="CM129" i="1"/>
  <c r="CM127" i="1"/>
  <c r="CM125" i="1"/>
  <c r="CM87" i="1"/>
  <c r="CM83" i="1"/>
  <c r="CM81" i="1"/>
  <c r="CM79" i="1"/>
  <c r="CM77" i="1"/>
  <c r="CM72" i="1"/>
  <c r="CM60" i="1"/>
  <c r="CM58" i="1"/>
  <c r="CM56" i="1"/>
  <c r="CM54" i="1"/>
  <c r="CM240" i="1"/>
  <c r="CM225" i="1"/>
  <c r="CM223" i="1"/>
  <c r="CM221" i="1"/>
  <c r="CM204" i="1"/>
  <c r="CM202" i="1"/>
  <c r="CM200" i="1"/>
  <c r="CM198" i="1"/>
  <c r="CM189" i="1"/>
  <c r="CM187" i="1"/>
  <c r="CM185" i="1"/>
  <c r="CM170" i="1"/>
  <c r="CM159" i="1"/>
  <c r="CM51" i="1"/>
  <c r="CP237" i="1"/>
  <c r="CP235" i="1"/>
  <c r="CP233" i="1"/>
  <c r="CP219" i="1"/>
  <c r="CP207" i="1"/>
  <c r="CP194" i="1"/>
  <c r="CP191" i="1"/>
  <c r="CP178" i="1"/>
  <c r="CP176" i="1"/>
  <c r="CP174" i="1"/>
  <c r="CP171" i="1"/>
  <c r="CP156" i="1"/>
  <c r="CP154" i="1"/>
  <c r="CP152" i="1"/>
  <c r="CP150" i="1"/>
  <c r="CP147" i="1"/>
  <c r="CP107" i="1"/>
  <c r="CP105" i="1"/>
  <c r="CP103" i="1"/>
  <c r="CP101" i="1"/>
  <c r="CP97" i="1"/>
  <c r="CP85" i="1"/>
  <c r="CP74" i="1"/>
  <c r="CP62" i="1"/>
  <c r="CP59" i="1"/>
  <c r="CP57" i="1"/>
  <c r="CP55" i="1"/>
  <c r="CP53" i="1"/>
  <c r="CP72" i="1"/>
  <c r="CP239" i="1"/>
  <c r="CP229" i="1"/>
  <c r="CP217" i="1"/>
  <c r="CP195" i="1"/>
  <c r="CP183" i="1"/>
  <c r="CP172" i="1"/>
  <c r="CP167" i="1"/>
  <c r="CP165" i="1"/>
  <c r="CP163" i="1"/>
  <c r="CP161" i="1"/>
  <c r="CP148" i="1"/>
  <c r="CP141" i="1"/>
  <c r="CP139" i="1"/>
  <c r="CP136" i="1"/>
  <c r="CP135" i="1"/>
  <c r="CP133" i="1"/>
  <c r="CP122" i="1"/>
  <c r="CP109" i="1"/>
  <c r="CP96" i="1"/>
  <c r="CP94" i="1"/>
  <c r="CP92" i="1"/>
  <c r="CP90" i="1"/>
  <c r="CP88" i="1"/>
  <c r="CP231" i="1"/>
  <c r="CP226" i="1"/>
  <c r="CP224" i="1"/>
  <c r="CP222" i="1"/>
  <c r="CP203" i="1"/>
  <c r="CP201" i="1"/>
  <c r="CP199" i="1"/>
  <c r="CP197" i="1"/>
  <c r="CP188" i="1"/>
  <c r="CP186" i="1"/>
  <c r="CP184" i="1"/>
  <c r="CP181" i="1"/>
  <c r="CP180" i="1"/>
  <c r="CP169" i="1"/>
  <c r="CP143" i="1"/>
  <c r="CP137" i="1"/>
  <c r="CP132" i="1"/>
  <c r="CP130" i="1"/>
  <c r="CP128" i="1"/>
  <c r="CP126" i="1"/>
  <c r="CP124" i="1"/>
  <c r="CP123" i="1"/>
  <c r="CP98" i="1"/>
  <c r="CP84" i="1"/>
  <c r="CP82" i="1"/>
  <c r="CP80" i="1"/>
  <c r="CP78" i="1"/>
  <c r="CP76" i="1"/>
  <c r="CP75" i="1"/>
  <c r="CP73" i="1"/>
  <c r="CP63" i="1"/>
  <c r="CP58" i="1"/>
  <c r="CP50" i="1"/>
  <c r="CP220" i="1"/>
  <c r="CP216" i="1"/>
  <c r="CP214" i="1"/>
  <c r="CP212" i="1"/>
  <c r="CP210" i="1"/>
  <c r="CP208" i="1"/>
  <c r="CP158" i="1"/>
  <c r="CP119" i="1"/>
  <c r="CP117" i="1"/>
  <c r="CP115" i="1"/>
  <c r="CP113" i="1"/>
  <c r="CP99" i="1"/>
  <c r="CP86" i="1"/>
  <c r="CP70" i="1"/>
  <c r="CP68" i="1"/>
  <c r="CP66" i="1"/>
  <c r="CP64" i="1"/>
  <c r="CP61" i="1"/>
  <c r="CP241" i="1"/>
  <c r="CP238" i="1"/>
  <c r="CP236" i="1"/>
  <c r="CP234" i="1"/>
  <c r="CP232" i="1"/>
  <c r="CP228" i="1"/>
  <c r="CP205" i="1"/>
  <c r="CP193" i="1"/>
  <c r="CP190" i="1"/>
  <c r="CP179" i="1"/>
  <c r="CP177" i="1"/>
  <c r="CP175" i="1"/>
  <c r="CP173" i="1"/>
  <c r="CP155" i="1"/>
  <c r="CP153" i="1"/>
  <c r="CP151" i="1"/>
  <c r="CP149" i="1"/>
  <c r="CP110" i="1"/>
  <c r="CP108" i="1"/>
  <c r="CP106" i="1"/>
  <c r="CP104" i="1"/>
  <c r="CP102" i="1"/>
  <c r="CP60" i="1"/>
  <c r="CP56" i="1"/>
  <c r="CP54" i="1"/>
  <c r="CP121" i="1"/>
  <c r="CP111" i="1"/>
  <c r="CP100" i="1"/>
  <c r="CP95" i="1"/>
  <c r="CP93" i="1"/>
  <c r="CP91" i="1"/>
  <c r="CP89" i="1"/>
  <c r="CP218" i="1"/>
  <c r="CP192" i="1"/>
  <c r="CP182" i="1"/>
  <c r="CP168" i="1"/>
  <c r="CP166" i="1"/>
  <c r="CP164" i="1"/>
  <c r="CP162" i="1"/>
  <c r="CP157" i="1"/>
  <c r="CP145" i="1"/>
  <c r="CP140" i="1"/>
  <c r="CP138" i="1"/>
  <c r="CP240" i="1"/>
  <c r="CP225" i="1"/>
  <c r="CP223" i="1"/>
  <c r="CP221" i="1"/>
  <c r="CP204" i="1"/>
  <c r="CP202" i="1"/>
  <c r="CP200" i="1"/>
  <c r="CP198" i="1"/>
  <c r="CP189" i="1"/>
  <c r="CP187" i="1"/>
  <c r="CP185" i="1"/>
  <c r="CP170" i="1"/>
  <c r="CP159" i="1"/>
  <c r="CP144" i="1"/>
  <c r="CP142" i="1"/>
  <c r="CP131" i="1"/>
  <c r="CP129" i="1"/>
  <c r="CP127" i="1"/>
  <c r="CP125" i="1"/>
  <c r="CP87" i="1"/>
  <c r="CP83" i="1"/>
  <c r="CP81" i="1"/>
  <c r="CP79" i="1"/>
  <c r="CP77" i="1"/>
  <c r="CP51" i="1"/>
  <c r="CP146" i="1"/>
  <c r="CP134" i="1"/>
  <c r="CP120" i="1"/>
  <c r="CP118" i="1"/>
  <c r="CP116" i="1"/>
  <c r="CP114" i="1"/>
  <c r="CP112" i="1"/>
  <c r="CP71" i="1"/>
  <c r="CP69" i="1"/>
  <c r="CP67" i="1"/>
  <c r="CP65" i="1"/>
  <c r="CP52" i="1"/>
  <c r="CP230" i="1"/>
  <c r="CP227" i="1"/>
  <c r="CP215" i="1"/>
  <c r="CP213" i="1"/>
  <c r="CP211" i="1"/>
  <c r="CP209" i="1"/>
  <c r="CP206" i="1"/>
  <c r="CP196" i="1"/>
  <c r="CP160" i="1"/>
  <c r="F48" i="21"/>
  <c r="F49" i="21" s="1"/>
  <c r="CC32" i="1" l="1"/>
  <c r="CE32" i="1" s="1"/>
  <c r="CF32" i="1" s="1"/>
  <c r="AQ33" i="1"/>
  <c r="F55" i="21"/>
  <c r="F50" i="21"/>
  <c r="F51" i="21" s="1"/>
  <c r="CC33" i="1" l="1"/>
  <c r="CE33" i="1" s="1"/>
  <c r="CF33" i="1" s="1"/>
  <c r="AQ34" i="1"/>
  <c r="F59" i="21"/>
  <c r="F52" i="21"/>
  <c r="F54" i="21" s="1"/>
  <c r="F56" i="21" s="1"/>
  <c r="CC34" i="1" l="1"/>
  <c r="CE34" i="1" s="1"/>
  <c r="CF34" i="1" s="1"/>
  <c r="AQ35" i="1"/>
  <c r="F61" i="21"/>
  <c r="F62" i="21" s="1"/>
  <c r="F58" i="21"/>
  <c r="N2" i="18"/>
  <c r="N3" i="18"/>
  <c r="J4" i="18"/>
  <c r="J5" i="18"/>
  <c r="J6" i="18"/>
  <c r="J7" i="18"/>
  <c r="O7" i="18" s="1"/>
  <c r="CC35" i="1" l="1"/>
  <c r="CE35" i="1" s="1"/>
  <c r="CF35" i="1" s="1"/>
  <c r="AQ36" i="1"/>
  <c r="R6" i="18"/>
  <c r="P6" i="18"/>
  <c r="O5" i="18"/>
  <c r="R7" i="18"/>
  <c r="P7" i="18"/>
  <c r="R5" i="18"/>
  <c r="P5" i="18"/>
  <c r="P4" i="18"/>
  <c r="R4" i="18"/>
  <c r="O6" i="18"/>
  <c r="O4" i="18"/>
  <c r="F63" i="21"/>
  <c r="F64" i="21" s="1"/>
  <c r="N7" i="18"/>
  <c r="F57" i="21"/>
  <c r="N6" i="18"/>
  <c r="N5" i="18"/>
  <c r="N4" i="18"/>
  <c r="F39" i="21"/>
  <c r="F29" i="21"/>
  <c r="F36" i="21"/>
  <c r="F37" i="21" s="1"/>
  <c r="F33" i="21"/>
  <c r="F35" i="21" s="1"/>
  <c r="F31" i="21"/>
  <c r="F32" i="21" s="1"/>
  <c r="H12" i="21"/>
  <c r="H9" i="21"/>
  <c r="H10" i="21" s="1"/>
  <c r="H7" i="21"/>
  <c r="F12" i="21"/>
  <c r="E12" i="21"/>
  <c r="M12" i="21"/>
  <c r="L12" i="21"/>
  <c r="K12" i="21"/>
  <c r="J12" i="21"/>
  <c r="I12" i="21"/>
  <c r="G12" i="21"/>
  <c r="E9" i="21"/>
  <c r="E10" i="21" s="1"/>
  <c r="E7" i="21"/>
  <c r="F43" i="21" l="1"/>
  <c r="CC36" i="1"/>
  <c r="CE36" i="1" s="1"/>
  <c r="CF36" i="1" s="1"/>
  <c r="AQ37" i="1"/>
  <c r="E11" i="21"/>
  <c r="F38" i="21"/>
  <c r="F41" i="21" s="1"/>
  <c r="F42" i="21" s="1"/>
  <c r="F40" i="21"/>
  <c r="E8" i="21"/>
  <c r="E14" i="21"/>
  <c r="E15" i="21" s="1"/>
  <c r="H11" i="21"/>
  <c r="H14" i="21" s="1"/>
  <c r="H15" i="21" s="1"/>
  <c r="H8" i="21"/>
  <c r="H13" i="21"/>
  <c r="E13" i="21"/>
  <c r="G5" i="18"/>
  <c r="G4" i="18"/>
  <c r="B3" i="18"/>
  <c r="B2" i="18"/>
  <c r="K3" i="18"/>
  <c r="K2" i="18"/>
  <c r="G3" i="18"/>
  <c r="G2" i="18"/>
  <c r="K7" i="18"/>
  <c r="CU49" i="1"/>
  <c r="CU48" i="1"/>
  <c r="CU47" i="1"/>
  <c r="CU46" i="1"/>
  <c r="CU45" i="1"/>
  <c r="CU44" i="1"/>
  <c r="CU43" i="1"/>
  <c r="CU42" i="1"/>
  <c r="CU41" i="1"/>
  <c r="CU40" i="1"/>
  <c r="CU39" i="1"/>
  <c r="CU38" i="1"/>
  <c r="CU37" i="1"/>
  <c r="CU36" i="1"/>
  <c r="CU35" i="1"/>
  <c r="CU34" i="1"/>
  <c r="CU33" i="1"/>
  <c r="CU32" i="1"/>
  <c r="CU31" i="1"/>
  <c r="CU30" i="1"/>
  <c r="CU29" i="1"/>
  <c r="CU28" i="1"/>
  <c r="CU27" i="1"/>
  <c r="CU26" i="1"/>
  <c r="CU25" i="1"/>
  <c r="CU24" i="1"/>
  <c r="CU23" i="1"/>
  <c r="CU22" i="1"/>
  <c r="CU21" i="1"/>
  <c r="CU20" i="1"/>
  <c r="CU19" i="1"/>
  <c r="CU18" i="1"/>
  <c r="CU17" i="1"/>
  <c r="CU16" i="1"/>
  <c r="CU15" i="1"/>
  <c r="CU14" i="1"/>
  <c r="CU13" i="1"/>
  <c r="CU12" i="1"/>
  <c r="CU11" i="1"/>
  <c r="CU10" i="1"/>
  <c r="CU9" i="1"/>
  <c r="CU8" i="1"/>
  <c r="CU7" i="1"/>
  <c r="CU6" i="1"/>
  <c r="CU5" i="1"/>
  <c r="CU4" i="1"/>
  <c r="CU3" i="1"/>
  <c r="CU2" i="1"/>
  <c r="F21" i="21"/>
  <c r="F22" i="21" s="1"/>
  <c r="F23" i="21" s="1"/>
  <c r="F24" i="21" s="1"/>
  <c r="F20" i="21"/>
  <c r="M9" i="21"/>
  <c r="M10" i="21" s="1"/>
  <c r="M13" i="21" s="1"/>
  <c r="L9" i="21"/>
  <c r="L10" i="21" s="1"/>
  <c r="L13" i="21" s="1"/>
  <c r="K9" i="21"/>
  <c r="K10" i="21" s="1"/>
  <c r="K13" i="21" s="1"/>
  <c r="J9" i="21"/>
  <c r="J10" i="21" s="1"/>
  <c r="J13" i="21" s="1"/>
  <c r="I9" i="21"/>
  <c r="I10" i="21" s="1"/>
  <c r="I13" i="21" s="1"/>
  <c r="G9" i="21"/>
  <c r="G10" i="21" s="1"/>
  <c r="G13" i="21" s="1"/>
  <c r="F9" i="21"/>
  <c r="F10" i="21" s="1"/>
  <c r="F13" i="21" s="1"/>
  <c r="M7" i="21"/>
  <c r="K7" i="21"/>
  <c r="I7" i="21"/>
  <c r="G7" i="21"/>
  <c r="F7" i="21"/>
  <c r="CC37" i="1" l="1"/>
  <c r="AQ38" i="1"/>
  <c r="J10" i="18"/>
  <c r="J8" i="18"/>
  <c r="J11" i="18"/>
  <c r="J9" i="18"/>
  <c r="K6" i="18"/>
  <c r="I11" i="21"/>
  <c r="I14" i="21" s="1"/>
  <c r="I15" i="21" s="1"/>
  <c r="K11" i="21"/>
  <c r="K14" i="21" s="1"/>
  <c r="K15" i="21" s="1"/>
  <c r="M8" i="21"/>
  <c r="B4" i="18"/>
  <c r="B7" i="18"/>
  <c r="G7" i="18"/>
  <c r="B6" i="18"/>
  <c r="G6" i="18"/>
  <c r="B5" i="18"/>
  <c r="K4" i="18"/>
  <c r="F11" i="21"/>
  <c r="F14" i="21" s="1"/>
  <c r="F15" i="21" s="1"/>
  <c r="F8" i="21"/>
  <c r="K5" i="18"/>
  <c r="L7" i="21"/>
  <c r="L11" i="21" s="1"/>
  <c r="L14" i="21" s="1"/>
  <c r="L15" i="21" s="1"/>
  <c r="G8" i="21"/>
  <c r="G11" i="21"/>
  <c r="G14" i="21" s="1"/>
  <c r="G15" i="21" s="1"/>
  <c r="M11" i="21"/>
  <c r="M14" i="21" s="1"/>
  <c r="M15" i="21" s="1"/>
  <c r="F25" i="21"/>
  <c r="I8" i="21"/>
  <c r="J7" i="21"/>
  <c r="J11" i="21" s="1"/>
  <c r="J14" i="21" s="1"/>
  <c r="J15" i="21" s="1"/>
  <c r="K8" i="21"/>
  <c r="CC38" i="1" l="1"/>
  <c r="AQ39" i="1"/>
  <c r="CE37" i="1"/>
  <c r="CF37" i="1" s="1"/>
  <c r="CD26" i="1"/>
  <c r="L8" i="21"/>
  <c r="J8" i="21"/>
  <c r="CC39" i="1" l="1"/>
  <c r="CE39" i="1" s="1"/>
  <c r="CF39" i="1" s="1"/>
  <c r="AQ40" i="1"/>
  <c r="CE38" i="1"/>
  <c r="CC40" i="1" l="1"/>
  <c r="AQ41" i="1"/>
  <c r="AD38" i="1"/>
  <c r="AD26" i="1"/>
  <c r="AD14" i="1"/>
  <c r="AD2" i="1"/>
  <c r="AB38" i="1"/>
  <c r="AB26" i="1"/>
  <c r="AB14" i="1"/>
  <c r="AB2" i="1"/>
  <c r="L38" i="1"/>
  <c r="L26" i="1"/>
  <c r="L14" i="1"/>
  <c r="J38" i="1"/>
  <c r="J26" i="1"/>
  <c r="J14" i="1"/>
  <c r="L2" i="1"/>
  <c r="J2" i="1"/>
  <c r="CC41" i="1" l="1"/>
  <c r="AQ42" i="1"/>
  <c r="CE40" i="1"/>
  <c r="CF40" i="1" s="1"/>
  <c r="AL3" i="1"/>
  <c r="AL4" i="1" s="1"/>
  <c r="CC42" i="1" l="1"/>
  <c r="CE42" i="1" s="1"/>
  <c r="CF42" i="1" s="1"/>
  <c r="AQ43" i="1"/>
  <c r="CE41" i="1"/>
  <c r="CF41" i="1" s="1"/>
  <c r="AT3" i="1"/>
  <c r="AT4" i="1" s="1"/>
  <c r="CC43" i="1" l="1"/>
  <c r="CE43" i="1" s="1"/>
  <c r="CF43" i="1" s="1"/>
  <c r="AQ44" i="1"/>
  <c r="G301" i="1"/>
  <c r="V38" i="1"/>
  <c r="F11" i="18" s="1"/>
  <c r="V26" i="1"/>
  <c r="F10" i="18" s="1"/>
  <c r="V14" i="1"/>
  <c r="F9" i="18" s="1"/>
  <c r="V2" i="1"/>
  <c r="F8" i="18" s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CC44" i="1" l="1"/>
  <c r="CE44" i="1" s="1"/>
  <c r="CF44" i="1" s="1"/>
  <c r="AQ45" i="1"/>
  <c r="B8" i="18"/>
  <c r="CX2" i="1"/>
  <c r="O8" i="18" s="1"/>
  <c r="N9" i="18"/>
  <c r="CX14" i="1"/>
  <c r="O9" i="18" s="1"/>
  <c r="N10" i="18"/>
  <c r="CX26" i="1"/>
  <c r="O10" i="18" s="1"/>
  <c r="N8" i="18"/>
  <c r="N11" i="18"/>
  <c r="B11" i="18"/>
  <c r="K11" i="18"/>
  <c r="G11" i="18"/>
  <c r="AN3" i="1"/>
  <c r="AN4" i="1" s="1"/>
  <c r="AN5" i="1" s="1"/>
  <c r="AN6" i="1" s="1"/>
  <c r="AM7" i="1"/>
  <c r="BU7" i="1" s="1"/>
  <c r="CA7" i="1" s="1"/>
  <c r="CC45" i="1" l="1"/>
  <c r="CE45" i="1" s="1"/>
  <c r="CF45" i="1" s="1"/>
  <c r="AQ46" i="1"/>
  <c r="BX7" i="1"/>
  <c r="CK7" i="1"/>
  <c r="CJ7" i="1"/>
  <c r="G10" i="18"/>
  <c r="K10" i="18"/>
  <c r="B9" i="18"/>
  <c r="B10" i="18"/>
  <c r="K9" i="18"/>
  <c r="G9" i="18"/>
  <c r="DQ25" i="1"/>
  <c r="DQ2" i="1"/>
  <c r="CC46" i="1" l="1"/>
  <c r="CE46" i="1" s="1"/>
  <c r="CF46" i="1" s="1"/>
  <c r="AQ47" i="1"/>
  <c r="DQ14" i="1"/>
  <c r="DR23" i="1" s="1"/>
  <c r="DR35" i="1" s="1"/>
  <c r="DR47" i="1" s="1"/>
  <c r="DR59" i="1" s="1"/>
  <c r="DR71" i="1" s="1"/>
  <c r="DR83" i="1" s="1"/>
  <c r="DR95" i="1" s="1"/>
  <c r="DR107" i="1" s="1"/>
  <c r="DR119" i="1" s="1"/>
  <c r="DR131" i="1" s="1"/>
  <c r="DR143" i="1" s="1"/>
  <c r="DR155" i="1" s="1"/>
  <c r="DR167" i="1" s="1"/>
  <c r="DR179" i="1" s="1"/>
  <c r="DR191" i="1" s="1"/>
  <c r="DR203" i="1" s="1"/>
  <c r="DR215" i="1" s="1"/>
  <c r="DR227" i="1" s="1"/>
  <c r="DR239" i="1" s="1"/>
  <c r="DR251" i="1" s="1"/>
  <c r="DR263" i="1" s="1"/>
  <c r="DR275" i="1" s="1"/>
  <c r="DR287" i="1" s="1"/>
  <c r="DR299" i="1" s="1"/>
  <c r="DQ37" i="1"/>
  <c r="DQ3" i="1"/>
  <c r="DQ4" i="1" s="1"/>
  <c r="DQ5" i="1" s="1"/>
  <c r="DQ6" i="1" s="1"/>
  <c r="DQ7" i="1" s="1"/>
  <c r="DQ8" i="1" s="1"/>
  <c r="DQ9" i="1" s="1"/>
  <c r="DQ10" i="1" s="1"/>
  <c r="DQ11" i="1" s="1"/>
  <c r="CC47" i="1" l="1"/>
  <c r="CE47" i="1" s="1"/>
  <c r="CF47" i="1" s="1"/>
  <c r="AQ48" i="1"/>
  <c r="DQ49" i="1"/>
  <c r="AN8" i="1"/>
  <c r="AN9" i="1" s="1"/>
  <c r="AN10" i="1" s="1"/>
  <c r="AN11" i="1" s="1"/>
  <c r="AN12" i="1" s="1"/>
  <c r="AN13" i="1" s="1"/>
  <c r="AN14" i="1" s="1"/>
  <c r="AN15" i="1" s="1"/>
  <c r="AN16" i="1" s="1"/>
  <c r="AN17" i="1" s="1"/>
  <c r="AN19" i="1" s="1"/>
  <c r="AN21" i="1" s="1"/>
  <c r="AN23" i="1" s="1"/>
  <c r="AN24" i="1" s="1"/>
  <c r="AN25" i="1" l="1"/>
  <c r="AN26" i="1" s="1"/>
  <c r="AN27" i="1" s="1"/>
  <c r="AN28" i="1" s="1"/>
  <c r="AN29" i="1" s="1"/>
  <c r="AN30" i="1" s="1"/>
  <c r="AN31" i="1" s="1"/>
  <c r="AN32" i="1" s="1"/>
  <c r="AN34" i="1" s="1"/>
  <c r="AN35" i="1" s="1"/>
  <c r="AN36" i="1" s="1"/>
  <c r="AN37" i="1" s="1"/>
  <c r="AN38" i="1" s="1"/>
  <c r="AN39" i="1" s="1"/>
  <c r="AN40" i="1" s="1"/>
  <c r="AN41" i="1" s="1"/>
  <c r="AN42" i="1" s="1"/>
  <c r="AN43" i="1" s="1"/>
  <c r="AN44" i="1" s="1"/>
  <c r="AN45" i="1" s="1"/>
  <c r="AN46" i="1" s="1"/>
  <c r="AN47" i="1" s="1"/>
  <c r="AN48" i="1" s="1"/>
  <c r="AN49" i="1" s="1"/>
  <c r="AN50" i="1" s="1"/>
  <c r="AN51" i="1" s="1"/>
  <c r="AN52" i="1" s="1"/>
  <c r="AN53" i="1" s="1"/>
  <c r="AN54" i="1" s="1"/>
  <c r="AN55" i="1" s="1"/>
  <c r="AN56" i="1" s="1"/>
  <c r="AN57" i="1" s="1"/>
  <c r="AN58" i="1" s="1"/>
  <c r="AN59" i="1" s="1"/>
  <c r="AN60" i="1" s="1"/>
  <c r="AN61" i="1" s="1"/>
  <c r="AN62" i="1" s="1"/>
  <c r="AN63" i="1" s="1"/>
  <c r="AN64" i="1" s="1"/>
  <c r="AN65" i="1" s="1"/>
  <c r="AN66" i="1" s="1"/>
  <c r="AN67" i="1" s="1"/>
  <c r="AN68" i="1" s="1"/>
  <c r="AN69" i="1" s="1"/>
  <c r="AN70" i="1" s="1"/>
  <c r="AN71" i="1" s="1"/>
  <c r="AN72" i="1" s="1"/>
  <c r="AN73" i="1" s="1"/>
  <c r="AN74" i="1" s="1"/>
  <c r="AN75" i="1" s="1"/>
  <c r="AN76" i="1" s="1"/>
  <c r="AN77" i="1" s="1"/>
  <c r="AN78" i="1" s="1"/>
  <c r="AN79" i="1" s="1"/>
  <c r="AN80" i="1" s="1"/>
  <c r="AN81" i="1" s="1"/>
  <c r="AN82" i="1" s="1"/>
  <c r="AN83" i="1" s="1"/>
  <c r="AN84" i="1" s="1"/>
  <c r="AN85" i="1" s="1"/>
  <c r="AN86" i="1" s="1"/>
  <c r="AN87" i="1" s="1"/>
  <c r="AN88" i="1" s="1"/>
  <c r="AN89" i="1" s="1"/>
  <c r="AN90" i="1" s="1"/>
  <c r="AN91" i="1" s="1"/>
  <c r="AN92" i="1" s="1"/>
  <c r="AN93" i="1" s="1"/>
  <c r="AN94" i="1" s="1"/>
  <c r="AN95" i="1" s="1"/>
  <c r="AN96" i="1" s="1"/>
  <c r="AN97" i="1" s="1"/>
  <c r="AN98" i="1" s="1"/>
  <c r="AN99" i="1" s="1"/>
  <c r="AN100" i="1" s="1"/>
  <c r="AN101" i="1" s="1"/>
  <c r="AN102" i="1" s="1"/>
  <c r="AN103" i="1" s="1"/>
  <c r="AN104" i="1" s="1"/>
  <c r="AN105" i="1" s="1"/>
  <c r="AN106" i="1" s="1"/>
  <c r="AN107" i="1" s="1"/>
  <c r="AN108" i="1" s="1"/>
  <c r="AN109" i="1" s="1"/>
  <c r="AN110" i="1" s="1"/>
  <c r="AN111" i="1" s="1"/>
  <c r="AN112" i="1" s="1"/>
  <c r="AN113" i="1" s="1"/>
  <c r="AN114" i="1" s="1"/>
  <c r="AN115" i="1" s="1"/>
  <c r="AN116" i="1" s="1"/>
  <c r="AN117" i="1" s="1"/>
  <c r="AN118" i="1" s="1"/>
  <c r="AN119" i="1" s="1"/>
  <c r="AN120" i="1" s="1"/>
  <c r="AN121" i="1" s="1"/>
  <c r="AN122" i="1" s="1"/>
  <c r="AN123" i="1" s="1"/>
  <c r="AN124" i="1" s="1"/>
  <c r="AN125" i="1" s="1"/>
  <c r="AN126" i="1" s="1"/>
  <c r="AN127" i="1" s="1"/>
  <c r="AN128" i="1" s="1"/>
  <c r="AN129" i="1" s="1"/>
  <c r="AN130" i="1" s="1"/>
  <c r="AN131" i="1" s="1"/>
  <c r="AN132" i="1" s="1"/>
  <c r="AN133" i="1" s="1"/>
  <c r="AN134" i="1" s="1"/>
  <c r="AN135" i="1" s="1"/>
  <c r="AN136" i="1" s="1"/>
  <c r="AN137" i="1" s="1"/>
  <c r="AN138" i="1" s="1"/>
  <c r="AN139" i="1" s="1"/>
  <c r="AN140" i="1" s="1"/>
  <c r="AN141" i="1" s="1"/>
  <c r="AN142" i="1" s="1"/>
  <c r="AN143" i="1" s="1"/>
  <c r="AN144" i="1" s="1"/>
  <c r="AN145" i="1" s="1"/>
  <c r="AN146" i="1" s="1"/>
  <c r="AN147" i="1" s="1"/>
  <c r="AN148" i="1" s="1"/>
  <c r="AN149" i="1" s="1"/>
  <c r="AN150" i="1" s="1"/>
  <c r="AN151" i="1" s="1"/>
  <c r="AN152" i="1" s="1"/>
  <c r="AN153" i="1" s="1"/>
  <c r="AN154" i="1" s="1"/>
  <c r="AN155" i="1" s="1"/>
  <c r="AN156" i="1" s="1"/>
  <c r="AN157" i="1" s="1"/>
  <c r="AN158" i="1" s="1"/>
  <c r="AN159" i="1" s="1"/>
  <c r="AN160" i="1" s="1"/>
  <c r="AN161" i="1" s="1"/>
  <c r="AN162" i="1" s="1"/>
  <c r="AN163" i="1" s="1"/>
  <c r="AN164" i="1" s="1"/>
  <c r="AN165" i="1" s="1"/>
  <c r="AN166" i="1" s="1"/>
  <c r="AN167" i="1" s="1"/>
  <c r="AN168" i="1" s="1"/>
  <c r="AN169" i="1" s="1"/>
  <c r="AN170" i="1" s="1"/>
  <c r="AN171" i="1" s="1"/>
  <c r="AN172" i="1" s="1"/>
  <c r="AN173" i="1" s="1"/>
  <c r="AN174" i="1" s="1"/>
  <c r="AN175" i="1" s="1"/>
  <c r="AN176" i="1" s="1"/>
  <c r="AN177" i="1" s="1"/>
  <c r="AN178" i="1" s="1"/>
  <c r="AN179" i="1" s="1"/>
  <c r="AN180" i="1" s="1"/>
  <c r="AN181" i="1" s="1"/>
  <c r="AN182" i="1" s="1"/>
  <c r="AN183" i="1" s="1"/>
  <c r="AN184" i="1" s="1"/>
  <c r="AN185" i="1" s="1"/>
  <c r="AN186" i="1" s="1"/>
  <c r="AN187" i="1" s="1"/>
  <c r="AN188" i="1" s="1"/>
  <c r="AN189" i="1" s="1"/>
  <c r="AN190" i="1" s="1"/>
  <c r="AN191" i="1" s="1"/>
  <c r="AN192" i="1" s="1"/>
  <c r="AN193" i="1" s="1"/>
  <c r="AN194" i="1" s="1"/>
  <c r="AN195" i="1" s="1"/>
  <c r="AN196" i="1" s="1"/>
  <c r="AN197" i="1" s="1"/>
  <c r="AN198" i="1" s="1"/>
  <c r="AN199" i="1" s="1"/>
  <c r="AN200" i="1" s="1"/>
  <c r="AN201" i="1" s="1"/>
  <c r="AN202" i="1" s="1"/>
  <c r="AN203" i="1" s="1"/>
  <c r="AN204" i="1" s="1"/>
  <c r="AN205" i="1" s="1"/>
  <c r="AN206" i="1" s="1"/>
  <c r="AN207" i="1" s="1"/>
  <c r="AN208" i="1" s="1"/>
  <c r="AN209" i="1" s="1"/>
  <c r="AN210" i="1" s="1"/>
  <c r="AN211" i="1" s="1"/>
  <c r="AN212" i="1" s="1"/>
  <c r="AN213" i="1" s="1"/>
  <c r="AN214" i="1" s="1"/>
  <c r="AN215" i="1" s="1"/>
  <c r="AN216" i="1" s="1"/>
  <c r="AN217" i="1" s="1"/>
  <c r="AN218" i="1" s="1"/>
  <c r="AN219" i="1" s="1"/>
  <c r="AN220" i="1" s="1"/>
  <c r="AN221" i="1" s="1"/>
  <c r="AN222" i="1" s="1"/>
  <c r="AN223" i="1" s="1"/>
  <c r="AN224" i="1" s="1"/>
  <c r="AN225" i="1" s="1"/>
  <c r="AN226" i="1" s="1"/>
  <c r="AN227" i="1" s="1"/>
  <c r="AN228" i="1" s="1"/>
  <c r="AN229" i="1" s="1"/>
  <c r="AN230" i="1" s="1"/>
  <c r="AN231" i="1" s="1"/>
  <c r="AN232" i="1" s="1"/>
  <c r="AN233" i="1" s="1"/>
  <c r="AN234" i="1" s="1"/>
  <c r="AN235" i="1" s="1"/>
  <c r="AN236" i="1" s="1"/>
  <c r="AN237" i="1" s="1"/>
  <c r="AN238" i="1" s="1"/>
  <c r="AN239" i="1" s="1"/>
  <c r="AN240" i="1" s="1"/>
  <c r="AN241" i="1" s="1"/>
  <c r="AN242" i="1" s="1"/>
  <c r="AN243" i="1" s="1"/>
  <c r="AN244" i="1" s="1"/>
  <c r="AN245" i="1" s="1"/>
  <c r="AN246" i="1" s="1"/>
  <c r="AN247" i="1" s="1"/>
  <c r="AN248" i="1" s="1"/>
  <c r="AN249" i="1" s="1"/>
  <c r="AN250" i="1" s="1"/>
  <c r="AN251" i="1" s="1"/>
  <c r="AN252" i="1" s="1"/>
  <c r="AN253" i="1" s="1"/>
  <c r="AN254" i="1" s="1"/>
  <c r="AN255" i="1" s="1"/>
  <c r="AN256" i="1" s="1"/>
  <c r="AN257" i="1" s="1"/>
  <c r="AN258" i="1" s="1"/>
  <c r="AN259" i="1" s="1"/>
  <c r="AN260" i="1" s="1"/>
  <c r="AN261" i="1" s="1"/>
  <c r="AN262" i="1" s="1"/>
  <c r="AN263" i="1" s="1"/>
  <c r="AN264" i="1" s="1"/>
  <c r="AN265" i="1" s="1"/>
  <c r="AN266" i="1" s="1"/>
  <c r="AN267" i="1" s="1"/>
  <c r="AN268" i="1" s="1"/>
  <c r="AN269" i="1" s="1"/>
  <c r="AN270" i="1" s="1"/>
  <c r="AN271" i="1" s="1"/>
  <c r="AN272" i="1" s="1"/>
  <c r="AN273" i="1" s="1"/>
  <c r="AN274" i="1" s="1"/>
  <c r="AN275" i="1" s="1"/>
  <c r="AN276" i="1" s="1"/>
  <c r="AN277" i="1" s="1"/>
  <c r="AN278" i="1" s="1"/>
  <c r="AN279" i="1" s="1"/>
  <c r="AN280" i="1" s="1"/>
  <c r="AN281" i="1" s="1"/>
  <c r="AN282" i="1" s="1"/>
  <c r="AN283" i="1" s="1"/>
  <c r="AN284" i="1" s="1"/>
  <c r="AN285" i="1" s="1"/>
  <c r="AN286" i="1" s="1"/>
  <c r="AN287" i="1" s="1"/>
  <c r="AN288" i="1" s="1"/>
  <c r="AN289" i="1" s="1"/>
  <c r="AN290" i="1" s="1"/>
  <c r="AN291" i="1" s="1"/>
  <c r="AN292" i="1" s="1"/>
  <c r="AN293" i="1" s="1"/>
  <c r="AN294" i="1" s="1"/>
  <c r="AN295" i="1" s="1"/>
  <c r="AN296" i="1" s="1"/>
  <c r="AN297" i="1" s="1"/>
  <c r="AN298" i="1" s="1"/>
  <c r="AN299" i="1" s="1"/>
  <c r="AN300" i="1" s="1"/>
  <c r="AN301" i="1" s="1"/>
  <c r="CC48" i="1"/>
  <c r="CE48" i="1" s="1"/>
  <c r="CF48" i="1" s="1"/>
  <c r="AQ49" i="1"/>
  <c r="DQ38" i="1"/>
  <c r="DQ61" i="1"/>
  <c r="CS38" i="1"/>
  <c r="CC49" i="1" l="1"/>
  <c r="AQ50" i="1"/>
  <c r="CS50" i="1"/>
  <c r="CX50" i="1" s="1"/>
  <c r="CX38" i="1"/>
  <c r="O11" i="18" s="1"/>
  <c r="DQ50" i="1"/>
  <c r="DQ73" i="1"/>
  <c r="DQ39" i="1"/>
  <c r="DQ40" i="1" s="1"/>
  <c r="DQ41" i="1" s="1"/>
  <c r="DQ42" i="1" s="1"/>
  <c r="DQ43" i="1" s="1"/>
  <c r="DQ44" i="1" s="1"/>
  <c r="DQ45" i="1" s="1"/>
  <c r="DQ46" i="1" s="1"/>
  <c r="DQ47" i="1" s="1"/>
  <c r="AE1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7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9" i="1"/>
  <c r="AE8" i="1"/>
  <c r="AE6" i="1"/>
  <c r="AE5" i="1"/>
  <c r="AE4" i="1"/>
  <c r="CC50" i="1" l="1"/>
  <c r="AQ51" i="1"/>
  <c r="CE49" i="1"/>
  <c r="CF49" i="1" s="1"/>
  <c r="CD38" i="1"/>
  <c r="AF26" i="1"/>
  <c r="AF14" i="1"/>
  <c r="AF38" i="1"/>
  <c r="CS62" i="1"/>
  <c r="CX62" i="1" s="1"/>
  <c r="CV57" i="1"/>
  <c r="DQ62" i="1"/>
  <c r="DQ85" i="1"/>
  <c r="DQ51" i="1"/>
  <c r="M7" i="18"/>
  <c r="M6" i="18"/>
  <c r="M5" i="18"/>
  <c r="M4" i="18"/>
  <c r="M3" i="18"/>
  <c r="M2" i="18"/>
  <c r="I7" i="18"/>
  <c r="I6" i="18"/>
  <c r="I5" i="18"/>
  <c r="I4" i="18"/>
  <c r="I3" i="18"/>
  <c r="I2" i="18"/>
  <c r="CC51" i="1" l="1"/>
  <c r="CE51" i="1" s="1"/>
  <c r="AQ52" i="1"/>
  <c r="CE50" i="1"/>
  <c r="CS74" i="1"/>
  <c r="CX74" i="1" s="1"/>
  <c r="CV69" i="1"/>
  <c r="DQ74" i="1"/>
  <c r="DQ52" i="1"/>
  <c r="DQ63" i="1"/>
  <c r="DQ97" i="1"/>
  <c r="DO2" i="1"/>
  <c r="DO3" i="1" s="1"/>
  <c r="DO4" i="1" s="1"/>
  <c r="DO5" i="1" s="1"/>
  <c r="DO6" i="1" s="1"/>
  <c r="DO7" i="1" s="1"/>
  <c r="DO8" i="1" s="1"/>
  <c r="DO9" i="1" s="1"/>
  <c r="DO10" i="1" s="1"/>
  <c r="DO11" i="1" s="1"/>
  <c r="DO12" i="1" s="1"/>
  <c r="DO13" i="1" s="1"/>
  <c r="DO14" i="1" s="1"/>
  <c r="DO15" i="1" s="1"/>
  <c r="DO16" i="1" s="1"/>
  <c r="DO17" i="1" s="1"/>
  <c r="DO18" i="1" s="1"/>
  <c r="DO19" i="1" s="1"/>
  <c r="DO20" i="1" s="1"/>
  <c r="DO21" i="1" s="1"/>
  <c r="DO22" i="1" s="1"/>
  <c r="DO23" i="1" s="1"/>
  <c r="DO24" i="1" s="1"/>
  <c r="DO25" i="1" s="1"/>
  <c r="DO26" i="1" s="1"/>
  <c r="DO27" i="1" s="1"/>
  <c r="DO28" i="1" s="1"/>
  <c r="DO29" i="1" s="1"/>
  <c r="DO30" i="1" s="1"/>
  <c r="DO31" i="1" s="1"/>
  <c r="DO32" i="1" s="1"/>
  <c r="DO33" i="1" s="1"/>
  <c r="DO34" i="1" s="1"/>
  <c r="DO35" i="1" s="1"/>
  <c r="DO36" i="1" s="1"/>
  <c r="DO37" i="1" s="1"/>
  <c r="DO38" i="1" s="1"/>
  <c r="DO39" i="1" s="1"/>
  <c r="DO40" i="1" s="1"/>
  <c r="DO41" i="1" s="1"/>
  <c r="DO42" i="1" s="1"/>
  <c r="DO43" i="1" s="1"/>
  <c r="DO44" i="1" s="1"/>
  <c r="DO45" i="1" s="1"/>
  <c r="DO46" i="1" s="1"/>
  <c r="DO47" i="1" s="1"/>
  <c r="DO48" i="1" s="1"/>
  <c r="DO49" i="1" s="1"/>
  <c r="DO50" i="1" s="1"/>
  <c r="DO51" i="1" s="1"/>
  <c r="DO52" i="1" s="1"/>
  <c r="DO53" i="1" s="1"/>
  <c r="DO54" i="1" s="1"/>
  <c r="DO55" i="1" s="1"/>
  <c r="DO56" i="1" s="1"/>
  <c r="DO57" i="1" s="1"/>
  <c r="DO58" i="1" s="1"/>
  <c r="DO59" i="1" s="1"/>
  <c r="DO60" i="1" s="1"/>
  <c r="DO61" i="1" s="1"/>
  <c r="DO62" i="1" s="1"/>
  <c r="DO63" i="1" s="1"/>
  <c r="DO64" i="1" s="1"/>
  <c r="DO65" i="1" s="1"/>
  <c r="DO66" i="1" s="1"/>
  <c r="DO67" i="1" s="1"/>
  <c r="DO68" i="1" s="1"/>
  <c r="DO69" i="1" s="1"/>
  <c r="DO70" i="1" s="1"/>
  <c r="DO71" i="1" s="1"/>
  <c r="DO72" i="1" s="1"/>
  <c r="DO73" i="1" s="1"/>
  <c r="DO74" i="1" s="1"/>
  <c r="DO75" i="1" s="1"/>
  <c r="DO76" i="1" s="1"/>
  <c r="DO77" i="1" s="1"/>
  <c r="DO78" i="1" s="1"/>
  <c r="DO79" i="1" s="1"/>
  <c r="DO80" i="1" s="1"/>
  <c r="DO81" i="1" s="1"/>
  <c r="DO82" i="1" s="1"/>
  <c r="DO83" i="1" s="1"/>
  <c r="DO84" i="1" s="1"/>
  <c r="DO85" i="1" s="1"/>
  <c r="DO86" i="1" s="1"/>
  <c r="DO87" i="1" s="1"/>
  <c r="DO88" i="1" s="1"/>
  <c r="DO89" i="1" s="1"/>
  <c r="DO90" i="1" s="1"/>
  <c r="DO91" i="1" s="1"/>
  <c r="DO92" i="1" s="1"/>
  <c r="DO93" i="1" s="1"/>
  <c r="DO94" i="1" s="1"/>
  <c r="DO95" i="1" s="1"/>
  <c r="DO96" i="1" s="1"/>
  <c r="DO97" i="1" s="1"/>
  <c r="DO98" i="1" s="1"/>
  <c r="DO99" i="1" s="1"/>
  <c r="DO100" i="1" s="1"/>
  <c r="DO101" i="1" s="1"/>
  <c r="DO102" i="1" s="1"/>
  <c r="DO103" i="1" s="1"/>
  <c r="DO104" i="1" s="1"/>
  <c r="DO105" i="1" s="1"/>
  <c r="DO106" i="1" s="1"/>
  <c r="DO107" i="1" s="1"/>
  <c r="DO108" i="1" s="1"/>
  <c r="DO109" i="1" s="1"/>
  <c r="DO110" i="1" s="1"/>
  <c r="DO111" i="1" s="1"/>
  <c r="DO112" i="1" s="1"/>
  <c r="DO113" i="1" s="1"/>
  <c r="DO114" i="1" s="1"/>
  <c r="DO115" i="1" s="1"/>
  <c r="DO116" i="1" s="1"/>
  <c r="DO117" i="1" s="1"/>
  <c r="DO118" i="1" s="1"/>
  <c r="DO119" i="1" s="1"/>
  <c r="DO120" i="1" s="1"/>
  <c r="DO121" i="1" s="1"/>
  <c r="DO122" i="1" s="1"/>
  <c r="DO123" i="1" s="1"/>
  <c r="DO124" i="1" s="1"/>
  <c r="DO125" i="1" s="1"/>
  <c r="DO126" i="1" s="1"/>
  <c r="DO127" i="1" s="1"/>
  <c r="DO128" i="1" s="1"/>
  <c r="DO129" i="1" s="1"/>
  <c r="DO130" i="1" s="1"/>
  <c r="DO131" i="1" s="1"/>
  <c r="DO132" i="1" s="1"/>
  <c r="DO133" i="1" s="1"/>
  <c r="DO134" i="1" s="1"/>
  <c r="DO135" i="1" s="1"/>
  <c r="DO136" i="1" s="1"/>
  <c r="DO137" i="1" s="1"/>
  <c r="DO138" i="1" s="1"/>
  <c r="DO139" i="1" s="1"/>
  <c r="DO140" i="1" s="1"/>
  <c r="DO141" i="1" s="1"/>
  <c r="DO142" i="1" s="1"/>
  <c r="DO143" i="1" s="1"/>
  <c r="DO144" i="1" s="1"/>
  <c r="DO145" i="1" s="1"/>
  <c r="DO146" i="1" s="1"/>
  <c r="DO147" i="1" s="1"/>
  <c r="DO148" i="1" s="1"/>
  <c r="DO149" i="1" s="1"/>
  <c r="DO150" i="1" s="1"/>
  <c r="DO151" i="1" s="1"/>
  <c r="DO152" i="1" s="1"/>
  <c r="DO153" i="1" s="1"/>
  <c r="DO154" i="1" s="1"/>
  <c r="DO155" i="1" s="1"/>
  <c r="DO156" i="1" s="1"/>
  <c r="DO157" i="1" s="1"/>
  <c r="DO158" i="1" s="1"/>
  <c r="DO159" i="1" s="1"/>
  <c r="DO160" i="1" s="1"/>
  <c r="DO161" i="1" s="1"/>
  <c r="DO162" i="1" s="1"/>
  <c r="DO163" i="1" s="1"/>
  <c r="DO164" i="1" s="1"/>
  <c r="DO165" i="1" s="1"/>
  <c r="DO166" i="1" s="1"/>
  <c r="DO167" i="1" s="1"/>
  <c r="DO168" i="1" s="1"/>
  <c r="DO169" i="1" s="1"/>
  <c r="DO170" i="1" s="1"/>
  <c r="DO171" i="1" s="1"/>
  <c r="DO172" i="1" s="1"/>
  <c r="DO173" i="1" s="1"/>
  <c r="DO174" i="1" s="1"/>
  <c r="DO175" i="1" s="1"/>
  <c r="DO176" i="1" s="1"/>
  <c r="DO177" i="1" s="1"/>
  <c r="DO178" i="1" s="1"/>
  <c r="DO179" i="1" s="1"/>
  <c r="DO180" i="1" s="1"/>
  <c r="DO181" i="1" s="1"/>
  <c r="DO182" i="1" s="1"/>
  <c r="DO183" i="1" s="1"/>
  <c r="DO184" i="1" s="1"/>
  <c r="DO185" i="1" s="1"/>
  <c r="DO186" i="1" s="1"/>
  <c r="DO187" i="1" s="1"/>
  <c r="DO188" i="1" s="1"/>
  <c r="DO189" i="1" s="1"/>
  <c r="DO190" i="1" s="1"/>
  <c r="DO191" i="1" s="1"/>
  <c r="DO192" i="1" s="1"/>
  <c r="DO193" i="1" s="1"/>
  <c r="DO194" i="1" s="1"/>
  <c r="DO195" i="1" s="1"/>
  <c r="DO196" i="1" s="1"/>
  <c r="DO197" i="1" s="1"/>
  <c r="DO198" i="1" s="1"/>
  <c r="DO199" i="1" s="1"/>
  <c r="DO200" i="1" s="1"/>
  <c r="DO201" i="1" s="1"/>
  <c r="DO202" i="1" s="1"/>
  <c r="DO203" i="1" s="1"/>
  <c r="DO204" i="1" s="1"/>
  <c r="DO205" i="1" s="1"/>
  <c r="DO206" i="1" s="1"/>
  <c r="DO207" i="1" s="1"/>
  <c r="DO208" i="1" s="1"/>
  <c r="DO209" i="1" s="1"/>
  <c r="DO210" i="1" s="1"/>
  <c r="DO211" i="1" s="1"/>
  <c r="DO212" i="1" s="1"/>
  <c r="DO213" i="1" s="1"/>
  <c r="DO214" i="1" s="1"/>
  <c r="DO215" i="1" s="1"/>
  <c r="DO216" i="1" s="1"/>
  <c r="DO217" i="1" s="1"/>
  <c r="DO218" i="1" s="1"/>
  <c r="DO219" i="1" s="1"/>
  <c r="DO220" i="1" s="1"/>
  <c r="DO221" i="1" s="1"/>
  <c r="DO222" i="1" s="1"/>
  <c r="DO223" i="1" s="1"/>
  <c r="DO224" i="1" s="1"/>
  <c r="DO225" i="1" s="1"/>
  <c r="DO226" i="1" s="1"/>
  <c r="DO227" i="1" s="1"/>
  <c r="DO228" i="1" s="1"/>
  <c r="DO229" i="1" s="1"/>
  <c r="DO230" i="1" s="1"/>
  <c r="DO231" i="1" s="1"/>
  <c r="DO232" i="1" s="1"/>
  <c r="DO233" i="1" s="1"/>
  <c r="DO234" i="1" s="1"/>
  <c r="DO235" i="1" s="1"/>
  <c r="DO236" i="1" s="1"/>
  <c r="DO237" i="1" s="1"/>
  <c r="DO238" i="1" s="1"/>
  <c r="DO239" i="1" s="1"/>
  <c r="DO240" i="1" s="1"/>
  <c r="DO241" i="1" s="1"/>
  <c r="DO242" i="1" s="1"/>
  <c r="DO243" i="1" s="1"/>
  <c r="DO244" i="1" s="1"/>
  <c r="DO245" i="1" s="1"/>
  <c r="DO246" i="1" s="1"/>
  <c r="DO247" i="1" s="1"/>
  <c r="DO248" i="1" s="1"/>
  <c r="DO249" i="1" s="1"/>
  <c r="DO250" i="1" s="1"/>
  <c r="DO251" i="1" s="1"/>
  <c r="DO252" i="1" s="1"/>
  <c r="DO253" i="1" s="1"/>
  <c r="DO254" i="1" s="1"/>
  <c r="DO255" i="1" s="1"/>
  <c r="DO256" i="1" s="1"/>
  <c r="DO257" i="1" s="1"/>
  <c r="DO258" i="1" s="1"/>
  <c r="DO259" i="1" s="1"/>
  <c r="DO260" i="1" s="1"/>
  <c r="DO261" i="1" s="1"/>
  <c r="DO262" i="1" s="1"/>
  <c r="DO263" i="1" s="1"/>
  <c r="DO264" i="1" s="1"/>
  <c r="DO265" i="1" s="1"/>
  <c r="DO266" i="1" s="1"/>
  <c r="DO267" i="1" s="1"/>
  <c r="DO268" i="1" s="1"/>
  <c r="DO269" i="1" s="1"/>
  <c r="DO270" i="1" s="1"/>
  <c r="DO271" i="1" s="1"/>
  <c r="DO272" i="1" s="1"/>
  <c r="DO273" i="1" s="1"/>
  <c r="DO274" i="1" s="1"/>
  <c r="DO275" i="1" s="1"/>
  <c r="DO276" i="1" s="1"/>
  <c r="DO277" i="1" s="1"/>
  <c r="DO278" i="1" s="1"/>
  <c r="DO279" i="1" s="1"/>
  <c r="DO280" i="1" s="1"/>
  <c r="DO281" i="1" s="1"/>
  <c r="DO282" i="1" s="1"/>
  <c r="DO283" i="1" s="1"/>
  <c r="DO284" i="1" s="1"/>
  <c r="DO285" i="1" s="1"/>
  <c r="DO286" i="1" s="1"/>
  <c r="DO287" i="1" s="1"/>
  <c r="DO288" i="1" s="1"/>
  <c r="DO289" i="1" s="1"/>
  <c r="DO290" i="1" s="1"/>
  <c r="DO291" i="1" s="1"/>
  <c r="DO292" i="1" s="1"/>
  <c r="DO293" i="1" s="1"/>
  <c r="DO294" i="1" s="1"/>
  <c r="DO295" i="1" s="1"/>
  <c r="DO296" i="1" s="1"/>
  <c r="DO297" i="1" s="1"/>
  <c r="DO298" i="1" s="1"/>
  <c r="DO299" i="1" s="1"/>
  <c r="DO300" i="1" s="1"/>
  <c r="DO301" i="1" s="1"/>
  <c r="DL2" i="1"/>
  <c r="DL3" i="1" s="1"/>
  <c r="DL4" i="1" s="1"/>
  <c r="DL5" i="1" s="1"/>
  <c r="DL6" i="1" s="1"/>
  <c r="DL7" i="1" s="1"/>
  <c r="DL8" i="1" s="1"/>
  <c r="DL9" i="1" s="1"/>
  <c r="DL10" i="1" s="1"/>
  <c r="DL11" i="1" s="1"/>
  <c r="DL12" i="1" s="1"/>
  <c r="DL13" i="1" s="1"/>
  <c r="DL14" i="1" s="1"/>
  <c r="DL15" i="1" s="1"/>
  <c r="DL16" i="1" s="1"/>
  <c r="DL17" i="1" s="1"/>
  <c r="DL18" i="1" s="1"/>
  <c r="DL19" i="1" s="1"/>
  <c r="DL20" i="1" s="1"/>
  <c r="DL21" i="1" s="1"/>
  <c r="DL22" i="1" s="1"/>
  <c r="DL23" i="1" s="1"/>
  <c r="DL24" i="1" s="1"/>
  <c r="DL25" i="1" s="1"/>
  <c r="DL26" i="1" s="1"/>
  <c r="DL27" i="1" s="1"/>
  <c r="DL28" i="1" s="1"/>
  <c r="DL29" i="1" s="1"/>
  <c r="DL30" i="1" s="1"/>
  <c r="DL31" i="1" s="1"/>
  <c r="DL32" i="1" s="1"/>
  <c r="DL33" i="1" s="1"/>
  <c r="DL34" i="1" s="1"/>
  <c r="DL35" i="1" s="1"/>
  <c r="DL36" i="1" s="1"/>
  <c r="DL37" i="1" s="1"/>
  <c r="DL38" i="1" s="1"/>
  <c r="DL39" i="1" s="1"/>
  <c r="DL40" i="1" s="1"/>
  <c r="DL41" i="1" s="1"/>
  <c r="DL42" i="1" s="1"/>
  <c r="DL43" i="1" s="1"/>
  <c r="DL44" i="1" s="1"/>
  <c r="DL45" i="1" s="1"/>
  <c r="DL46" i="1" s="1"/>
  <c r="DL47" i="1" s="1"/>
  <c r="DL48" i="1" s="1"/>
  <c r="DL49" i="1" s="1"/>
  <c r="DL50" i="1" s="1"/>
  <c r="DL51" i="1" s="1"/>
  <c r="DL52" i="1" s="1"/>
  <c r="DL53" i="1" s="1"/>
  <c r="DL54" i="1" s="1"/>
  <c r="DL55" i="1" s="1"/>
  <c r="DL56" i="1" s="1"/>
  <c r="DL57" i="1" s="1"/>
  <c r="DL58" i="1" s="1"/>
  <c r="DL59" i="1" s="1"/>
  <c r="DL60" i="1" s="1"/>
  <c r="DL61" i="1" s="1"/>
  <c r="DL62" i="1" s="1"/>
  <c r="DL63" i="1" s="1"/>
  <c r="DL64" i="1" s="1"/>
  <c r="DL65" i="1" s="1"/>
  <c r="DL66" i="1" s="1"/>
  <c r="DL67" i="1" s="1"/>
  <c r="DL68" i="1" s="1"/>
  <c r="DL69" i="1" s="1"/>
  <c r="DL70" i="1" s="1"/>
  <c r="DL71" i="1" s="1"/>
  <c r="DL72" i="1" s="1"/>
  <c r="DL73" i="1" s="1"/>
  <c r="DL74" i="1" s="1"/>
  <c r="DL75" i="1" s="1"/>
  <c r="DL76" i="1" s="1"/>
  <c r="DL77" i="1" s="1"/>
  <c r="DL78" i="1" s="1"/>
  <c r="DL79" i="1" s="1"/>
  <c r="DL80" i="1" s="1"/>
  <c r="DL81" i="1" s="1"/>
  <c r="DL82" i="1" s="1"/>
  <c r="DL83" i="1" s="1"/>
  <c r="DL84" i="1" s="1"/>
  <c r="DL85" i="1" s="1"/>
  <c r="DL86" i="1" s="1"/>
  <c r="DL87" i="1" s="1"/>
  <c r="DL88" i="1" s="1"/>
  <c r="DL89" i="1" s="1"/>
  <c r="DL90" i="1" s="1"/>
  <c r="DL91" i="1" s="1"/>
  <c r="DL92" i="1" s="1"/>
  <c r="DL93" i="1" s="1"/>
  <c r="DL94" i="1" s="1"/>
  <c r="DL95" i="1" s="1"/>
  <c r="DL96" i="1" s="1"/>
  <c r="DL97" i="1" s="1"/>
  <c r="DL98" i="1" s="1"/>
  <c r="DL99" i="1" s="1"/>
  <c r="DL100" i="1" s="1"/>
  <c r="DL101" i="1" s="1"/>
  <c r="DL102" i="1" s="1"/>
  <c r="DL103" i="1" s="1"/>
  <c r="DL104" i="1" s="1"/>
  <c r="DL105" i="1" s="1"/>
  <c r="DL106" i="1" s="1"/>
  <c r="DL107" i="1" s="1"/>
  <c r="DL108" i="1" s="1"/>
  <c r="DL109" i="1" s="1"/>
  <c r="DL110" i="1" s="1"/>
  <c r="DL111" i="1" s="1"/>
  <c r="DL112" i="1" s="1"/>
  <c r="DL113" i="1" s="1"/>
  <c r="DL114" i="1" s="1"/>
  <c r="DL115" i="1" s="1"/>
  <c r="DL116" i="1" s="1"/>
  <c r="DL117" i="1" s="1"/>
  <c r="DL118" i="1" s="1"/>
  <c r="DL119" i="1" s="1"/>
  <c r="DL120" i="1" s="1"/>
  <c r="DL121" i="1" s="1"/>
  <c r="DL122" i="1" s="1"/>
  <c r="DL123" i="1" s="1"/>
  <c r="DL124" i="1" s="1"/>
  <c r="DL125" i="1" s="1"/>
  <c r="DL126" i="1" s="1"/>
  <c r="DL127" i="1" s="1"/>
  <c r="DL128" i="1" s="1"/>
  <c r="DL129" i="1" s="1"/>
  <c r="DL130" i="1" s="1"/>
  <c r="DL131" i="1" s="1"/>
  <c r="DL132" i="1" s="1"/>
  <c r="DL133" i="1" s="1"/>
  <c r="DL134" i="1" s="1"/>
  <c r="DL135" i="1" s="1"/>
  <c r="DL136" i="1" s="1"/>
  <c r="DL137" i="1" s="1"/>
  <c r="DL138" i="1" s="1"/>
  <c r="DL139" i="1" s="1"/>
  <c r="DL140" i="1" s="1"/>
  <c r="DL141" i="1" s="1"/>
  <c r="DL142" i="1" s="1"/>
  <c r="DL143" i="1" s="1"/>
  <c r="DL144" i="1" s="1"/>
  <c r="DL145" i="1" s="1"/>
  <c r="DL146" i="1" s="1"/>
  <c r="DL147" i="1" s="1"/>
  <c r="DL148" i="1" s="1"/>
  <c r="DL149" i="1" s="1"/>
  <c r="DL150" i="1" s="1"/>
  <c r="DL151" i="1" s="1"/>
  <c r="DL152" i="1" s="1"/>
  <c r="DL153" i="1" s="1"/>
  <c r="DL154" i="1" s="1"/>
  <c r="DL155" i="1" s="1"/>
  <c r="DL156" i="1" s="1"/>
  <c r="DL157" i="1" s="1"/>
  <c r="DL158" i="1" s="1"/>
  <c r="DL159" i="1" s="1"/>
  <c r="DL160" i="1" s="1"/>
  <c r="DL161" i="1" s="1"/>
  <c r="DL162" i="1" s="1"/>
  <c r="DL163" i="1" s="1"/>
  <c r="DL164" i="1" s="1"/>
  <c r="DL165" i="1" s="1"/>
  <c r="DL166" i="1" s="1"/>
  <c r="DL167" i="1" s="1"/>
  <c r="DL168" i="1" s="1"/>
  <c r="DL169" i="1" s="1"/>
  <c r="DL170" i="1" s="1"/>
  <c r="DL171" i="1" s="1"/>
  <c r="DL172" i="1" s="1"/>
  <c r="DL173" i="1" s="1"/>
  <c r="DL174" i="1" s="1"/>
  <c r="DL175" i="1" s="1"/>
  <c r="DL176" i="1" s="1"/>
  <c r="DL177" i="1" s="1"/>
  <c r="DL178" i="1" s="1"/>
  <c r="DL179" i="1" s="1"/>
  <c r="DL180" i="1" s="1"/>
  <c r="DL181" i="1" s="1"/>
  <c r="DL182" i="1" s="1"/>
  <c r="DL183" i="1" s="1"/>
  <c r="DL184" i="1" s="1"/>
  <c r="DL185" i="1" s="1"/>
  <c r="DL186" i="1" s="1"/>
  <c r="DL187" i="1" s="1"/>
  <c r="DL188" i="1" s="1"/>
  <c r="DL189" i="1" s="1"/>
  <c r="DL190" i="1" s="1"/>
  <c r="DL191" i="1" s="1"/>
  <c r="DL192" i="1" s="1"/>
  <c r="DL193" i="1" s="1"/>
  <c r="DL194" i="1" s="1"/>
  <c r="DL195" i="1" s="1"/>
  <c r="DL196" i="1" s="1"/>
  <c r="DL197" i="1" s="1"/>
  <c r="DL198" i="1" s="1"/>
  <c r="DL199" i="1" s="1"/>
  <c r="DL200" i="1" s="1"/>
  <c r="DL201" i="1" s="1"/>
  <c r="DL202" i="1" s="1"/>
  <c r="DL203" i="1" s="1"/>
  <c r="DL204" i="1" s="1"/>
  <c r="DL205" i="1" s="1"/>
  <c r="DL206" i="1" s="1"/>
  <c r="DL207" i="1" s="1"/>
  <c r="DL208" i="1" s="1"/>
  <c r="DL209" i="1" s="1"/>
  <c r="DL210" i="1" s="1"/>
  <c r="DL211" i="1" s="1"/>
  <c r="DL212" i="1" s="1"/>
  <c r="DL213" i="1" s="1"/>
  <c r="DL214" i="1" s="1"/>
  <c r="DL215" i="1" s="1"/>
  <c r="DL216" i="1" s="1"/>
  <c r="DL217" i="1" s="1"/>
  <c r="DL218" i="1" s="1"/>
  <c r="DL219" i="1" s="1"/>
  <c r="DL220" i="1" s="1"/>
  <c r="DL221" i="1" s="1"/>
  <c r="DL222" i="1" s="1"/>
  <c r="DL223" i="1" s="1"/>
  <c r="DL224" i="1" s="1"/>
  <c r="DL225" i="1" s="1"/>
  <c r="DL226" i="1" s="1"/>
  <c r="DL227" i="1" s="1"/>
  <c r="DL228" i="1" s="1"/>
  <c r="DL229" i="1" s="1"/>
  <c r="DL230" i="1" s="1"/>
  <c r="DL231" i="1" s="1"/>
  <c r="DL232" i="1" s="1"/>
  <c r="DL233" i="1" s="1"/>
  <c r="DL234" i="1" s="1"/>
  <c r="DL235" i="1" s="1"/>
  <c r="DL236" i="1" s="1"/>
  <c r="DL237" i="1" s="1"/>
  <c r="DL238" i="1" s="1"/>
  <c r="DL239" i="1" s="1"/>
  <c r="DL240" i="1" s="1"/>
  <c r="DL241" i="1" s="1"/>
  <c r="DL242" i="1" s="1"/>
  <c r="DL243" i="1" s="1"/>
  <c r="DL244" i="1" s="1"/>
  <c r="DL245" i="1" s="1"/>
  <c r="DL246" i="1" s="1"/>
  <c r="DL247" i="1" s="1"/>
  <c r="DL248" i="1" s="1"/>
  <c r="DL249" i="1" s="1"/>
  <c r="DL250" i="1" s="1"/>
  <c r="DL251" i="1" s="1"/>
  <c r="DL252" i="1" s="1"/>
  <c r="DL253" i="1" s="1"/>
  <c r="DL254" i="1" s="1"/>
  <c r="DL255" i="1" s="1"/>
  <c r="DL256" i="1" s="1"/>
  <c r="DL257" i="1" s="1"/>
  <c r="DL258" i="1" s="1"/>
  <c r="DL259" i="1" s="1"/>
  <c r="DL260" i="1" s="1"/>
  <c r="DL261" i="1" s="1"/>
  <c r="DL262" i="1" s="1"/>
  <c r="DL263" i="1" s="1"/>
  <c r="DL264" i="1" s="1"/>
  <c r="DL265" i="1" s="1"/>
  <c r="DL266" i="1" s="1"/>
  <c r="DL267" i="1" s="1"/>
  <c r="DL268" i="1" s="1"/>
  <c r="DL269" i="1" s="1"/>
  <c r="DL270" i="1" s="1"/>
  <c r="DL271" i="1" s="1"/>
  <c r="DL272" i="1" s="1"/>
  <c r="DL273" i="1" s="1"/>
  <c r="DL274" i="1" s="1"/>
  <c r="DL275" i="1" s="1"/>
  <c r="DL276" i="1" s="1"/>
  <c r="DL277" i="1" s="1"/>
  <c r="DL278" i="1" s="1"/>
  <c r="DL279" i="1" s="1"/>
  <c r="DL280" i="1" s="1"/>
  <c r="DL281" i="1" s="1"/>
  <c r="DL282" i="1" s="1"/>
  <c r="DL283" i="1" s="1"/>
  <c r="DL284" i="1" s="1"/>
  <c r="DL285" i="1" s="1"/>
  <c r="DL286" i="1" s="1"/>
  <c r="DL287" i="1" s="1"/>
  <c r="DL288" i="1" s="1"/>
  <c r="DL289" i="1" s="1"/>
  <c r="DL290" i="1" s="1"/>
  <c r="DL291" i="1" s="1"/>
  <c r="DL292" i="1" s="1"/>
  <c r="DL293" i="1" s="1"/>
  <c r="DL294" i="1" s="1"/>
  <c r="DL295" i="1" s="1"/>
  <c r="DL296" i="1" s="1"/>
  <c r="DL297" i="1" s="1"/>
  <c r="DL298" i="1" s="1"/>
  <c r="DL299" i="1" s="1"/>
  <c r="DL300" i="1" s="1"/>
  <c r="DL301" i="1" s="1"/>
  <c r="CC52" i="1" l="1"/>
  <c r="AQ53" i="1"/>
  <c r="CS86" i="1"/>
  <c r="CX86" i="1" s="1"/>
  <c r="CV81" i="1"/>
  <c r="DQ109" i="1"/>
  <c r="DQ86" i="1"/>
  <c r="DQ64" i="1"/>
  <c r="DQ75" i="1"/>
  <c r="DQ53" i="1"/>
  <c r="CS98" i="1"/>
  <c r="CX98" i="1" s="1"/>
  <c r="F38" i="1"/>
  <c r="F26" i="1"/>
  <c r="H26" i="1" s="1"/>
  <c r="F14" i="1"/>
  <c r="H14" i="1" s="1"/>
  <c r="F2" i="1"/>
  <c r="H2" i="1" s="1"/>
  <c r="AG49" i="1"/>
  <c r="AG48" i="1"/>
  <c r="AG47" i="1"/>
  <c r="AG46" i="1"/>
  <c r="CV45" i="1"/>
  <c r="L11" i="18" s="1"/>
  <c r="AG45" i="1"/>
  <c r="AG44" i="1"/>
  <c r="AG43" i="1"/>
  <c r="AG42" i="1"/>
  <c r="AG41" i="1"/>
  <c r="AG40" i="1"/>
  <c r="AG39" i="1"/>
  <c r="AG38" i="1"/>
  <c r="AG37" i="1"/>
  <c r="AG36" i="1"/>
  <c r="AG35" i="1"/>
  <c r="AG34" i="1"/>
  <c r="CV33" i="1"/>
  <c r="L10" i="18" s="1"/>
  <c r="AG33" i="1"/>
  <c r="AG32" i="1"/>
  <c r="AG31" i="1"/>
  <c r="AG30" i="1"/>
  <c r="AG29" i="1"/>
  <c r="AG28" i="1"/>
  <c r="AG27" i="1"/>
  <c r="AG26" i="1"/>
  <c r="CV93" i="1" l="1"/>
  <c r="CC53" i="1"/>
  <c r="CE53" i="1" s="1"/>
  <c r="AQ54" i="1"/>
  <c r="CE52" i="1"/>
  <c r="AH38" i="1"/>
  <c r="AH26" i="1"/>
  <c r="DQ98" i="1"/>
  <c r="DQ65" i="1"/>
  <c r="DQ87" i="1"/>
  <c r="DQ54" i="1"/>
  <c r="DQ121" i="1"/>
  <c r="DQ76" i="1"/>
  <c r="CV105" i="1"/>
  <c r="CS110" i="1"/>
  <c r="CX110" i="1" s="1"/>
  <c r="CC54" i="1" l="1"/>
  <c r="AQ55" i="1"/>
  <c r="DQ77" i="1"/>
  <c r="DQ133" i="1"/>
  <c r="DQ110" i="1"/>
  <c r="DQ55" i="1"/>
  <c r="DQ99" i="1"/>
  <c r="DQ88" i="1"/>
  <c r="DQ66" i="1"/>
  <c r="CV117" i="1"/>
  <c r="CS122" i="1"/>
  <c r="CX122" i="1" s="1"/>
  <c r="CC55" i="1" l="1"/>
  <c r="CE55" i="1" s="1"/>
  <c r="AQ56" i="1"/>
  <c r="CE54" i="1"/>
  <c r="DQ122" i="1"/>
  <c r="DQ145" i="1"/>
  <c r="DQ89" i="1"/>
  <c r="DQ100" i="1"/>
  <c r="DQ111" i="1"/>
  <c r="DQ78" i="1"/>
  <c r="DQ67" i="1"/>
  <c r="DQ56" i="1"/>
  <c r="CV129" i="1"/>
  <c r="CS134" i="1"/>
  <c r="CX134" i="1" s="1"/>
  <c r="DM26" i="1"/>
  <c r="CC56" i="1" l="1"/>
  <c r="CE56" i="1" s="1"/>
  <c r="AQ57" i="1"/>
  <c r="DQ134" i="1"/>
  <c r="DQ90" i="1"/>
  <c r="DQ68" i="1"/>
  <c r="DQ112" i="1"/>
  <c r="DQ157" i="1"/>
  <c r="DQ123" i="1"/>
  <c r="DQ79" i="1"/>
  <c r="DQ101" i="1"/>
  <c r="DQ57" i="1"/>
  <c r="CV141" i="1"/>
  <c r="CS146" i="1"/>
  <c r="CX146" i="1" s="1"/>
  <c r="DM27" i="1"/>
  <c r="CC57" i="1" l="1"/>
  <c r="CE57" i="1" s="1"/>
  <c r="AQ58" i="1"/>
  <c r="DQ80" i="1"/>
  <c r="DQ124" i="1"/>
  <c r="DQ69" i="1"/>
  <c r="DQ135" i="1"/>
  <c r="DQ113" i="1"/>
  <c r="DQ58" i="1"/>
  <c r="DQ102" i="1"/>
  <c r="DQ146" i="1"/>
  <c r="DQ169" i="1"/>
  <c r="DQ91" i="1"/>
  <c r="CV153" i="1"/>
  <c r="CS158" i="1"/>
  <c r="CX158" i="1" s="1"/>
  <c r="DM28" i="1"/>
  <c r="CC58" i="1" l="1"/>
  <c r="CE58" i="1" s="1"/>
  <c r="CF58" i="1" s="1"/>
  <c r="AQ59" i="1"/>
  <c r="DQ136" i="1"/>
  <c r="DQ70" i="1"/>
  <c r="DQ59" i="1"/>
  <c r="DQ103" i="1"/>
  <c r="DQ147" i="1"/>
  <c r="DQ81" i="1"/>
  <c r="DQ92" i="1"/>
  <c r="DQ125" i="1"/>
  <c r="DQ181" i="1"/>
  <c r="DQ158" i="1"/>
  <c r="DQ114" i="1"/>
  <c r="CV165" i="1"/>
  <c r="CS170" i="1"/>
  <c r="CX170" i="1" s="1"/>
  <c r="DM29" i="1"/>
  <c r="CM2" i="1"/>
  <c r="CP2" i="1"/>
  <c r="CM3" i="1"/>
  <c r="CP3" i="1"/>
  <c r="CC59" i="1" l="1"/>
  <c r="CE59" i="1" s="1"/>
  <c r="CF59" i="1" s="1"/>
  <c r="AQ60" i="1"/>
  <c r="DQ115" i="1"/>
  <c r="DQ104" i="1"/>
  <c r="DQ170" i="1"/>
  <c r="DQ193" i="1"/>
  <c r="DQ159" i="1"/>
  <c r="DQ126" i="1"/>
  <c r="DQ93" i="1"/>
  <c r="DQ82" i="1"/>
  <c r="DQ71" i="1"/>
  <c r="DQ148" i="1"/>
  <c r="DQ137" i="1"/>
  <c r="CV177" i="1"/>
  <c r="CS182" i="1"/>
  <c r="CX182" i="1" s="1"/>
  <c r="DM30" i="1"/>
  <c r="AG2" i="1"/>
  <c r="AE2" i="1"/>
  <c r="CC60" i="1" l="1"/>
  <c r="CE60" i="1" s="1"/>
  <c r="CF60" i="1" s="1"/>
  <c r="AQ61" i="1"/>
  <c r="DQ182" i="1"/>
  <c r="DQ94" i="1"/>
  <c r="DQ171" i="1"/>
  <c r="DQ149" i="1"/>
  <c r="DQ83" i="1"/>
  <c r="DQ205" i="1"/>
  <c r="DQ127" i="1"/>
  <c r="DQ160" i="1"/>
  <c r="DQ105" i="1"/>
  <c r="DQ138" i="1"/>
  <c r="DQ116" i="1"/>
  <c r="CV189" i="1"/>
  <c r="CS194" i="1"/>
  <c r="CX194" i="1" s="1"/>
  <c r="DM31" i="1"/>
  <c r="DN25" i="1"/>
  <c r="CC61" i="1" l="1"/>
  <c r="AQ62" i="1"/>
  <c r="DQ139" i="1"/>
  <c r="DQ95" i="1"/>
  <c r="DQ150" i="1"/>
  <c r="DQ217" i="1"/>
  <c r="DQ161" i="1"/>
  <c r="DQ106" i="1"/>
  <c r="DQ172" i="1"/>
  <c r="DQ117" i="1"/>
  <c r="DQ128" i="1"/>
  <c r="CV201" i="1"/>
  <c r="CS206" i="1"/>
  <c r="CX206" i="1" s="1"/>
  <c r="DM32" i="1"/>
  <c r="DN20" i="1"/>
  <c r="DN37" i="1"/>
  <c r="DN16" i="1"/>
  <c r="DN22" i="1"/>
  <c r="DN17" i="1"/>
  <c r="DN23" i="1"/>
  <c r="DN14" i="1"/>
  <c r="DN18" i="1"/>
  <c r="DN15" i="1"/>
  <c r="DN19" i="1"/>
  <c r="DN21" i="1"/>
  <c r="DN24" i="1"/>
  <c r="CC62" i="1" l="1"/>
  <c r="AQ63" i="1"/>
  <c r="CE61" i="1"/>
  <c r="CF61" i="1" s="1"/>
  <c r="CD50" i="1"/>
  <c r="DQ151" i="1"/>
  <c r="DQ118" i="1"/>
  <c r="DQ107" i="1"/>
  <c r="DQ140" i="1"/>
  <c r="DQ162" i="1"/>
  <c r="DQ173" i="1"/>
  <c r="DQ206" i="1"/>
  <c r="DQ229" i="1"/>
  <c r="DQ129" i="1"/>
  <c r="CV213" i="1"/>
  <c r="CS218" i="1"/>
  <c r="CX218" i="1" s="1"/>
  <c r="DM33" i="1"/>
  <c r="DN34" i="1"/>
  <c r="DN49" i="1"/>
  <c r="DN61" i="1" s="1"/>
  <c r="DN33" i="1"/>
  <c r="DN26" i="1"/>
  <c r="DN32" i="1"/>
  <c r="DN31" i="1"/>
  <c r="DN30" i="1"/>
  <c r="DN35" i="1"/>
  <c r="DN29" i="1"/>
  <c r="DN28" i="1"/>
  <c r="DN27" i="1"/>
  <c r="DN36" i="1"/>
  <c r="DN12" i="1"/>
  <c r="DN11" i="1"/>
  <c r="DN10" i="1"/>
  <c r="DN9" i="1"/>
  <c r="DN8" i="1"/>
  <c r="DN7" i="1"/>
  <c r="DN6" i="1"/>
  <c r="DN5" i="1"/>
  <c r="DN4" i="1"/>
  <c r="DN3" i="1"/>
  <c r="DN2" i="1"/>
  <c r="DK25" i="1"/>
  <c r="DK23" i="1" s="1"/>
  <c r="DK12" i="1"/>
  <c r="DK11" i="1"/>
  <c r="DK10" i="1"/>
  <c r="DK9" i="1"/>
  <c r="DK8" i="1"/>
  <c r="DK7" i="1"/>
  <c r="DK6" i="1"/>
  <c r="DK5" i="1"/>
  <c r="DK4" i="1"/>
  <c r="DK3" i="1"/>
  <c r="DK2" i="1"/>
  <c r="CC63" i="1" l="1"/>
  <c r="CE63" i="1" s="1"/>
  <c r="CF63" i="1" s="1"/>
  <c r="AQ64" i="1"/>
  <c r="CE62" i="1"/>
  <c r="CF62" i="1" s="1"/>
  <c r="DN60" i="1"/>
  <c r="DN73" i="1"/>
  <c r="DN59" i="1"/>
  <c r="DN58" i="1"/>
  <c r="DN57" i="1"/>
  <c r="DN56" i="1"/>
  <c r="DN55" i="1"/>
  <c r="DN54" i="1"/>
  <c r="DN53" i="1"/>
  <c r="DN51" i="1"/>
  <c r="DN52" i="1"/>
  <c r="DN50" i="1"/>
  <c r="DQ218" i="1"/>
  <c r="DQ152" i="1"/>
  <c r="DQ130" i="1"/>
  <c r="DQ241" i="1"/>
  <c r="DQ253" i="1" s="1"/>
  <c r="DQ119" i="1"/>
  <c r="DQ141" i="1"/>
  <c r="DQ163" i="1"/>
  <c r="DQ207" i="1"/>
  <c r="DQ174" i="1"/>
  <c r="CV225" i="1"/>
  <c r="CS230" i="1"/>
  <c r="DK21" i="1"/>
  <c r="DK37" i="1"/>
  <c r="DN46" i="1"/>
  <c r="DN44" i="1"/>
  <c r="DN47" i="1"/>
  <c r="DN43" i="1"/>
  <c r="DN42" i="1"/>
  <c r="DN48" i="1"/>
  <c r="DN41" i="1"/>
  <c r="DN39" i="1"/>
  <c r="DN40" i="1"/>
  <c r="DN45" i="1"/>
  <c r="DN38" i="1"/>
  <c r="DM34" i="1"/>
  <c r="DK15" i="1"/>
  <c r="DK17" i="1"/>
  <c r="DK16" i="1"/>
  <c r="DK19" i="1"/>
  <c r="DK20" i="1"/>
  <c r="DK24" i="1"/>
  <c r="DK18" i="1"/>
  <c r="DK14" i="1"/>
  <c r="DK22" i="1"/>
  <c r="AK2" i="1"/>
  <c r="CC64" i="1" l="1"/>
  <c r="AQ65" i="1"/>
  <c r="BR2" i="1"/>
  <c r="BJ2" i="1"/>
  <c r="DQ265" i="1"/>
  <c r="DQ242" i="1"/>
  <c r="CX230" i="1"/>
  <c r="CS242" i="1"/>
  <c r="DQ230" i="1"/>
  <c r="DN63" i="1"/>
  <c r="DN62" i="1"/>
  <c r="DN85" i="1"/>
  <c r="DN72" i="1"/>
  <c r="DN71" i="1"/>
  <c r="DN70" i="1"/>
  <c r="DN69" i="1"/>
  <c r="DN68" i="1"/>
  <c r="DN67" i="1"/>
  <c r="DN66" i="1"/>
  <c r="DN65" i="1"/>
  <c r="DN64" i="1"/>
  <c r="DQ175" i="1"/>
  <c r="DQ142" i="1"/>
  <c r="DQ131" i="1"/>
  <c r="DQ219" i="1"/>
  <c r="DQ153" i="1"/>
  <c r="DQ208" i="1"/>
  <c r="DQ164" i="1"/>
  <c r="CV237" i="1"/>
  <c r="BF2" i="1"/>
  <c r="DK35" i="1"/>
  <c r="DK34" i="1"/>
  <c r="DK36" i="1"/>
  <c r="DK32" i="1"/>
  <c r="DK31" i="1"/>
  <c r="DK49" i="1"/>
  <c r="DK61" i="1" s="1"/>
  <c r="DK33" i="1"/>
  <c r="DK26" i="1"/>
  <c r="DK30" i="1"/>
  <c r="DK29" i="1"/>
  <c r="DK28" i="1"/>
  <c r="DK27" i="1"/>
  <c r="DM35" i="1"/>
  <c r="CC65" i="1" l="1"/>
  <c r="AQ66" i="1"/>
  <c r="CE64" i="1"/>
  <c r="CF64" i="1" s="1"/>
  <c r="DQ277" i="1"/>
  <c r="DQ254" i="1"/>
  <c r="DQ255" i="1" s="1"/>
  <c r="CV249" i="1"/>
  <c r="CS254" i="1"/>
  <c r="CX242" i="1"/>
  <c r="DF242" i="1"/>
  <c r="DF243" i="1"/>
  <c r="DF244" i="1"/>
  <c r="DF245" i="1"/>
  <c r="DF247" i="1"/>
  <c r="DF246" i="1"/>
  <c r="DF248" i="1"/>
  <c r="DF249" i="1"/>
  <c r="DF250" i="1"/>
  <c r="DF251" i="1"/>
  <c r="DF252" i="1"/>
  <c r="DF253" i="1"/>
  <c r="DQ243" i="1"/>
  <c r="DQ244" i="1" s="1"/>
  <c r="DQ245" i="1" s="1"/>
  <c r="DQ246" i="1" s="1"/>
  <c r="DQ247" i="1" s="1"/>
  <c r="DQ248" i="1" s="1"/>
  <c r="DQ249" i="1" s="1"/>
  <c r="DQ250" i="1" s="1"/>
  <c r="DQ251" i="1" s="1"/>
  <c r="DN84" i="1"/>
  <c r="DN82" i="1"/>
  <c r="DN81" i="1"/>
  <c r="DN80" i="1"/>
  <c r="DN78" i="1"/>
  <c r="DN76" i="1"/>
  <c r="DN97" i="1"/>
  <c r="DN75" i="1"/>
  <c r="DN74" i="1"/>
  <c r="DN83" i="1"/>
  <c r="DN79" i="1"/>
  <c r="DN77" i="1"/>
  <c r="DK55" i="1"/>
  <c r="DI55" i="1" s="1"/>
  <c r="DK73" i="1"/>
  <c r="DK53" i="1"/>
  <c r="DI53" i="1" s="1"/>
  <c r="DK50" i="1"/>
  <c r="DI50" i="1" s="1"/>
  <c r="DK59" i="1"/>
  <c r="DI59" i="1" s="1"/>
  <c r="DK52" i="1"/>
  <c r="DI52" i="1" s="1"/>
  <c r="DK54" i="1"/>
  <c r="DI54" i="1" s="1"/>
  <c r="DK51" i="1"/>
  <c r="DI51" i="1" s="1"/>
  <c r="DK58" i="1"/>
  <c r="DI58" i="1" s="1"/>
  <c r="DK60" i="1"/>
  <c r="DK56" i="1"/>
  <c r="DI56" i="1" s="1"/>
  <c r="DK57" i="1"/>
  <c r="DI57" i="1" s="1"/>
  <c r="DI61" i="1"/>
  <c r="DQ220" i="1"/>
  <c r="DQ143" i="1"/>
  <c r="DQ209" i="1"/>
  <c r="DQ176" i="1"/>
  <c r="DQ165" i="1"/>
  <c r="DQ154" i="1"/>
  <c r="DQ231" i="1"/>
  <c r="T26" i="1"/>
  <c r="DM36" i="1"/>
  <c r="DK47" i="1"/>
  <c r="DK45" i="1"/>
  <c r="DK46" i="1"/>
  <c r="DK38" i="1"/>
  <c r="DK44" i="1"/>
  <c r="DK43" i="1"/>
  <c r="DK42" i="1"/>
  <c r="DK39" i="1"/>
  <c r="DK48" i="1"/>
  <c r="DK41" i="1"/>
  <c r="DK40" i="1"/>
  <c r="CC66" i="1" l="1"/>
  <c r="CE66" i="1" s="1"/>
  <c r="CF66" i="1" s="1"/>
  <c r="AQ67" i="1"/>
  <c r="CE65" i="1"/>
  <c r="CF65" i="1" s="1"/>
  <c r="CV261" i="1"/>
  <c r="CS266" i="1"/>
  <c r="CX254" i="1"/>
  <c r="DF254" i="1"/>
  <c r="DF255" i="1"/>
  <c r="DF256" i="1"/>
  <c r="DF257" i="1"/>
  <c r="DF258" i="1"/>
  <c r="DF259" i="1"/>
  <c r="DF260" i="1"/>
  <c r="DF261" i="1"/>
  <c r="DF262" i="1"/>
  <c r="DF263" i="1"/>
  <c r="DF264" i="1"/>
  <c r="DF265" i="1"/>
  <c r="DQ256" i="1"/>
  <c r="DQ257" i="1" s="1"/>
  <c r="DQ258" i="1" s="1"/>
  <c r="DQ259" i="1" s="1"/>
  <c r="DQ260" i="1" s="1"/>
  <c r="DQ261" i="1" s="1"/>
  <c r="DQ262" i="1" s="1"/>
  <c r="DQ263" i="1" s="1"/>
  <c r="DQ289" i="1"/>
  <c r="DQ266" i="1"/>
  <c r="DG242" i="1"/>
  <c r="DN96" i="1"/>
  <c r="DN86" i="1"/>
  <c r="DN109" i="1"/>
  <c r="DN95" i="1"/>
  <c r="DN94" i="1"/>
  <c r="DN93" i="1"/>
  <c r="DN92" i="1"/>
  <c r="DN91" i="1"/>
  <c r="DN90" i="1"/>
  <c r="DN89" i="1"/>
  <c r="DN88" i="1"/>
  <c r="DN87" i="1"/>
  <c r="DK65" i="1"/>
  <c r="DI65" i="1" s="1"/>
  <c r="DK72" i="1"/>
  <c r="DK64" i="1"/>
  <c r="DI64" i="1" s="1"/>
  <c r="DK71" i="1"/>
  <c r="DI71" i="1" s="1"/>
  <c r="DK63" i="1"/>
  <c r="DI63" i="1" s="1"/>
  <c r="DK62" i="1"/>
  <c r="DI62" i="1" s="1"/>
  <c r="DK85" i="1"/>
  <c r="DK69" i="1"/>
  <c r="DI69" i="1" s="1"/>
  <c r="DK68" i="1"/>
  <c r="DI68" i="1" s="1"/>
  <c r="DK70" i="1"/>
  <c r="DI70" i="1" s="1"/>
  <c r="DK67" i="1"/>
  <c r="DI67" i="1" s="1"/>
  <c r="DK66" i="1"/>
  <c r="DI66" i="1" s="1"/>
  <c r="DI73" i="1"/>
  <c r="DQ155" i="1"/>
  <c r="DQ210" i="1"/>
  <c r="DQ166" i="1"/>
  <c r="DQ177" i="1"/>
  <c r="DQ221" i="1"/>
  <c r="DQ232" i="1"/>
  <c r="DM37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3" i="1"/>
  <c r="AE3" i="1"/>
  <c r="AF2" i="1" s="1"/>
  <c r="CV21" i="1"/>
  <c r="L9" i="18" s="1"/>
  <c r="CC67" i="1" l="1"/>
  <c r="CE67" i="1" s="1"/>
  <c r="CF67" i="1" s="1"/>
  <c r="AQ68" i="1"/>
  <c r="DG254" i="1"/>
  <c r="DQ278" i="1"/>
  <c r="DQ279" i="1" s="1"/>
  <c r="DQ280" i="1" s="1"/>
  <c r="DQ281" i="1" s="1"/>
  <c r="DQ282" i="1" s="1"/>
  <c r="DQ283" i="1" s="1"/>
  <c r="DQ284" i="1" s="1"/>
  <c r="DQ285" i="1" s="1"/>
  <c r="DQ286" i="1" s="1"/>
  <c r="DQ287" i="1" s="1"/>
  <c r="DQ301" i="1"/>
  <c r="AH14" i="1"/>
  <c r="DQ267" i="1"/>
  <c r="DQ268" i="1" s="1"/>
  <c r="DQ269" i="1" s="1"/>
  <c r="DQ270" i="1" s="1"/>
  <c r="DQ271" i="1" s="1"/>
  <c r="DQ272" i="1" s="1"/>
  <c r="DQ273" i="1" s="1"/>
  <c r="DQ274" i="1" s="1"/>
  <c r="DQ275" i="1" s="1"/>
  <c r="CV273" i="1"/>
  <c r="CS278" i="1"/>
  <c r="CX266" i="1"/>
  <c r="DF266" i="1"/>
  <c r="DF267" i="1"/>
  <c r="DF268" i="1"/>
  <c r="DF269" i="1"/>
  <c r="DF270" i="1"/>
  <c r="DF271" i="1"/>
  <c r="DF272" i="1"/>
  <c r="DF273" i="1"/>
  <c r="DF274" i="1"/>
  <c r="DF275" i="1"/>
  <c r="DF276" i="1"/>
  <c r="DF277" i="1"/>
  <c r="DN99" i="1"/>
  <c r="DN121" i="1"/>
  <c r="DN98" i="1"/>
  <c r="DN100" i="1"/>
  <c r="DN108" i="1"/>
  <c r="DN107" i="1"/>
  <c r="DN106" i="1"/>
  <c r="DN105" i="1"/>
  <c r="DN104" i="1"/>
  <c r="DN103" i="1"/>
  <c r="DN102" i="1"/>
  <c r="DN101" i="1"/>
  <c r="DK80" i="1"/>
  <c r="DI80" i="1" s="1"/>
  <c r="DK75" i="1"/>
  <c r="DI75" i="1" s="1"/>
  <c r="DK74" i="1"/>
  <c r="DI74" i="1" s="1"/>
  <c r="DK83" i="1"/>
  <c r="DI83" i="1" s="1"/>
  <c r="DK81" i="1"/>
  <c r="DI81" i="1" s="1"/>
  <c r="DK79" i="1"/>
  <c r="DI79" i="1" s="1"/>
  <c r="DK78" i="1"/>
  <c r="DI78" i="1" s="1"/>
  <c r="DK77" i="1"/>
  <c r="DI77" i="1" s="1"/>
  <c r="DK82" i="1"/>
  <c r="DI82" i="1" s="1"/>
  <c r="DK97" i="1"/>
  <c r="DK84" i="1"/>
  <c r="DK76" i="1"/>
  <c r="DI76" i="1" s="1"/>
  <c r="DI85" i="1"/>
  <c r="DQ222" i="1"/>
  <c r="DQ178" i="1"/>
  <c r="DQ233" i="1"/>
  <c r="DQ167" i="1"/>
  <c r="DQ211" i="1"/>
  <c r="DM38" i="1"/>
  <c r="DM39" i="1" s="1"/>
  <c r="CC68" i="1" l="1"/>
  <c r="CE68" i="1" s="1"/>
  <c r="CF68" i="1" s="1"/>
  <c r="AQ69" i="1"/>
  <c r="DG266" i="1"/>
  <c r="CS290" i="1"/>
  <c r="CX278" i="1"/>
  <c r="CV285" i="1"/>
  <c r="DF278" i="1"/>
  <c r="DF279" i="1"/>
  <c r="DF280" i="1"/>
  <c r="DF281" i="1"/>
  <c r="DF282" i="1"/>
  <c r="DF283" i="1"/>
  <c r="DF284" i="1"/>
  <c r="DF285" i="1"/>
  <c r="DF286" i="1"/>
  <c r="DF287" i="1"/>
  <c r="DF288" i="1"/>
  <c r="DF289" i="1"/>
  <c r="DQ290" i="1"/>
  <c r="DQ291" i="1" s="1"/>
  <c r="DN120" i="1"/>
  <c r="DN119" i="1"/>
  <c r="DN118" i="1"/>
  <c r="DN117" i="1"/>
  <c r="DN116" i="1"/>
  <c r="DN115" i="1"/>
  <c r="DN114" i="1"/>
  <c r="DN113" i="1"/>
  <c r="DN112" i="1"/>
  <c r="DN111" i="1"/>
  <c r="DN110" i="1"/>
  <c r="DN133" i="1"/>
  <c r="DK90" i="1"/>
  <c r="DI90" i="1" s="1"/>
  <c r="DK95" i="1"/>
  <c r="DI95" i="1" s="1"/>
  <c r="DK89" i="1"/>
  <c r="DI89" i="1" s="1"/>
  <c r="DK96" i="1"/>
  <c r="DK88" i="1"/>
  <c r="DI88" i="1" s="1"/>
  <c r="DK93" i="1"/>
  <c r="DI93" i="1" s="1"/>
  <c r="DK86" i="1"/>
  <c r="DI86" i="1" s="1"/>
  <c r="DK94" i="1"/>
  <c r="DI94" i="1" s="1"/>
  <c r="DK87" i="1"/>
  <c r="DI87" i="1" s="1"/>
  <c r="DK109" i="1"/>
  <c r="DK92" i="1"/>
  <c r="DI92" i="1" s="1"/>
  <c r="DK91" i="1"/>
  <c r="DI91" i="1" s="1"/>
  <c r="DI97" i="1"/>
  <c r="DQ234" i="1"/>
  <c r="DQ179" i="1"/>
  <c r="DQ212" i="1"/>
  <c r="DQ223" i="1"/>
  <c r="CV9" i="1"/>
  <c r="L8" i="18" s="1"/>
  <c r="CC69" i="1" l="1"/>
  <c r="CE69" i="1" s="1"/>
  <c r="CF69" i="1" s="1"/>
  <c r="AQ70" i="1"/>
  <c r="DG278" i="1"/>
  <c r="DQ292" i="1"/>
  <c r="DQ293" i="1" s="1"/>
  <c r="DQ294" i="1" s="1"/>
  <c r="DQ295" i="1" s="1"/>
  <c r="DQ296" i="1" s="1"/>
  <c r="DQ297" i="1" s="1"/>
  <c r="DQ298" i="1" s="1"/>
  <c r="DQ299" i="1" s="1"/>
  <c r="CV297" i="1"/>
  <c r="CX290" i="1"/>
  <c r="DF290" i="1"/>
  <c r="DF291" i="1"/>
  <c r="DF292" i="1"/>
  <c r="DF293" i="1"/>
  <c r="DF294" i="1"/>
  <c r="DF295" i="1"/>
  <c r="DF296" i="1"/>
  <c r="DF297" i="1"/>
  <c r="DF298" i="1"/>
  <c r="DF299" i="1"/>
  <c r="DF300" i="1"/>
  <c r="DN132" i="1"/>
  <c r="DN122" i="1"/>
  <c r="DN145" i="1"/>
  <c r="DN131" i="1"/>
  <c r="DN130" i="1"/>
  <c r="DN129" i="1"/>
  <c r="DN128" i="1"/>
  <c r="DN127" i="1"/>
  <c r="DN126" i="1"/>
  <c r="DN125" i="1"/>
  <c r="DN124" i="1"/>
  <c r="DN123" i="1"/>
  <c r="DK106" i="1"/>
  <c r="DI106" i="1" s="1"/>
  <c r="DK99" i="1"/>
  <c r="DI99" i="1" s="1"/>
  <c r="DK98" i="1"/>
  <c r="DI98" i="1" s="1"/>
  <c r="DK121" i="1"/>
  <c r="DK105" i="1"/>
  <c r="DI105" i="1" s="1"/>
  <c r="DK104" i="1"/>
  <c r="DI104" i="1" s="1"/>
  <c r="DK100" i="1"/>
  <c r="DI100" i="1" s="1"/>
  <c r="DK103" i="1"/>
  <c r="DI103" i="1" s="1"/>
  <c r="DK102" i="1"/>
  <c r="DI102" i="1" s="1"/>
  <c r="DK107" i="1"/>
  <c r="DI107" i="1" s="1"/>
  <c r="DK101" i="1"/>
  <c r="DI101" i="1" s="1"/>
  <c r="DK108" i="1"/>
  <c r="DI109" i="1"/>
  <c r="DQ224" i="1"/>
  <c r="DQ235" i="1"/>
  <c r="DQ213" i="1"/>
  <c r="G8" i="18"/>
  <c r="K8" i="18"/>
  <c r="DM40" i="1"/>
  <c r="AP3" i="1"/>
  <c r="AO3" i="1"/>
  <c r="AO4" i="1" s="1"/>
  <c r="AO5" i="1" s="1"/>
  <c r="AM3" i="1"/>
  <c r="AL7" i="1"/>
  <c r="AK3" i="1"/>
  <c r="AK4" i="1" s="1"/>
  <c r="AK5" i="1" s="1"/>
  <c r="AK6" i="1" s="1"/>
  <c r="AK7" i="1" s="1"/>
  <c r="BR7" i="1" s="1"/>
  <c r="AJ3" i="1"/>
  <c r="BR3" i="1" s="1"/>
  <c r="CC70" i="1" l="1"/>
  <c r="CE70" i="1" s="1"/>
  <c r="CF70" i="1" s="1"/>
  <c r="AQ71" i="1"/>
  <c r="BW3" i="1"/>
  <c r="BJ3" i="1"/>
  <c r="BU3" i="1"/>
  <c r="CJ3" i="1"/>
  <c r="AK8" i="1"/>
  <c r="DN144" i="1"/>
  <c r="DN143" i="1"/>
  <c r="DN142" i="1"/>
  <c r="DN141" i="1"/>
  <c r="DN140" i="1"/>
  <c r="DN139" i="1"/>
  <c r="DN138" i="1"/>
  <c r="DN137" i="1"/>
  <c r="DN136" i="1"/>
  <c r="DN135" i="1"/>
  <c r="DN157" i="1"/>
  <c r="DN134" i="1"/>
  <c r="AP4" i="1"/>
  <c r="CL3" i="1"/>
  <c r="AO6" i="1"/>
  <c r="DK120" i="1"/>
  <c r="DK112" i="1"/>
  <c r="DI112" i="1" s="1"/>
  <c r="DK119" i="1"/>
  <c r="DI119" i="1" s="1"/>
  <c r="DK118" i="1"/>
  <c r="DI118" i="1" s="1"/>
  <c r="DK110" i="1"/>
  <c r="DI110" i="1" s="1"/>
  <c r="DK117" i="1"/>
  <c r="DI117" i="1" s="1"/>
  <c r="DK111" i="1"/>
  <c r="DI111" i="1" s="1"/>
  <c r="DK113" i="1"/>
  <c r="DI113" i="1" s="1"/>
  <c r="DK133" i="1"/>
  <c r="DK116" i="1"/>
  <c r="DI116" i="1" s="1"/>
  <c r="DK115" i="1"/>
  <c r="DI115" i="1" s="1"/>
  <c r="DK114" i="1"/>
  <c r="DI114" i="1" s="1"/>
  <c r="DI121" i="1"/>
  <c r="DQ214" i="1"/>
  <c r="DQ236" i="1"/>
  <c r="DQ225" i="1"/>
  <c r="AM4" i="1"/>
  <c r="AL8" i="1"/>
  <c r="AL9" i="1" s="1"/>
  <c r="AL10" i="1" s="1"/>
  <c r="AL11" i="1" s="1"/>
  <c r="DM41" i="1"/>
  <c r="DM42" i="1" s="1"/>
  <c r="BF3" i="1"/>
  <c r="AM8" i="1"/>
  <c r="CI2" i="1"/>
  <c r="DH2" i="1"/>
  <c r="AW2" i="1"/>
  <c r="AJ4" i="1"/>
  <c r="BR4" i="1" s="1"/>
  <c r="DM2" i="1"/>
  <c r="CC71" i="1" l="1"/>
  <c r="CE71" i="1" s="1"/>
  <c r="CF71" i="1" s="1"/>
  <c r="AQ72" i="1"/>
  <c r="CH3" i="1"/>
  <c r="CA3" i="1"/>
  <c r="BX3" i="1"/>
  <c r="BZ3" i="1"/>
  <c r="BW4" i="1"/>
  <c r="BJ4" i="1"/>
  <c r="AM5" i="1"/>
  <c r="BU5" i="1" s="1"/>
  <c r="BU4" i="1"/>
  <c r="CA4" i="1" s="1"/>
  <c r="CK8" i="1"/>
  <c r="BU8" i="1"/>
  <c r="AK9" i="1"/>
  <c r="CJ4" i="1"/>
  <c r="DN169" i="1"/>
  <c r="DN156" i="1"/>
  <c r="DN155" i="1"/>
  <c r="DN154" i="1"/>
  <c r="DN153" i="1"/>
  <c r="DN152" i="1"/>
  <c r="DN151" i="1"/>
  <c r="DN150" i="1"/>
  <c r="DN149" i="1"/>
  <c r="DN148" i="1"/>
  <c r="DN147" i="1"/>
  <c r="DN146" i="1"/>
  <c r="AO7" i="1"/>
  <c r="AP5" i="1"/>
  <c r="CL4" i="1"/>
  <c r="DK126" i="1"/>
  <c r="DI126" i="1" s="1"/>
  <c r="DK125" i="1"/>
  <c r="DI125" i="1" s="1"/>
  <c r="DK122" i="1"/>
  <c r="DI122" i="1" s="1"/>
  <c r="DK132" i="1"/>
  <c r="DK124" i="1"/>
  <c r="DI124" i="1" s="1"/>
  <c r="DK131" i="1"/>
  <c r="DI131" i="1" s="1"/>
  <c r="DK130" i="1"/>
  <c r="DI130" i="1" s="1"/>
  <c r="DK145" i="1"/>
  <c r="DK129" i="1"/>
  <c r="DI129" i="1" s="1"/>
  <c r="DK128" i="1"/>
  <c r="DI128" i="1" s="1"/>
  <c r="DK123" i="1"/>
  <c r="DI123" i="1" s="1"/>
  <c r="DK127" i="1"/>
  <c r="DI127" i="1" s="1"/>
  <c r="DI133" i="1"/>
  <c r="DQ237" i="1"/>
  <c r="DQ226" i="1"/>
  <c r="DQ215" i="1"/>
  <c r="AL13" i="1"/>
  <c r="AM9" i="1"/>
  <c r="BU9" i="1" s="1"/>
  <c r="AJ5" i="1"/>
  <c r="BR5" i="1" s="1"/>
  <c r="CI4" i="1"/>
  <c r="CI3" i="1"/>
  <c r="DM3" i="1"/>
  <c r="DM4" i="1" s="1"/>
  <c r="AW6" i="1"/>
  <c r="AL14" i="1" l="1"/>
  <c r="AL15" i="1" s="1"/>
  <c r="AL16" i="1" s="1"/>
  <c r="CC72" i="1"/>
  <c r="CE72" i="1" s="1"/>
  <c r="CF72" i="1" s="1"/>
  <c r="AQ73" i="1"/>
  <c r="CA9" i="1"/>
  <c r="CA8" i="1"/>
  <c r="CA5" i="1"/>
  <c r="BX4" i="1"/>
  <c r="CH4" i="1"/>
  <c r="BW5" i="1"/>
  <c r="BX5" i="1" s="1"/>
  <c r="BJ5" i="1"/>
  <c r="AK10" i="1"/>
  <c r="AJ6" i="1"/>
  <c r="BR6" i="1" s="1"/>
  <c r="CJ5" i="1"/>
  <c r="DN181" i="1"/>
  <c r="DN159" i="1"/>
  <c r="DN158" i="1"/>
  <c r="DN168" i="1"/>
  <c r="DN167" i="1"/>
  <c r="DN166" i="1"/>
  <c r="DN165" i="1"/>
  <c r="DN164" i="1"/>
  <c r="DN163" i="1"/>
  <c r="DN162" i="1"/>
  <c r="DN161" i="1"/>
  <c r="DN160" i="1"/>
  <c r="AM10" i="1"/>
  <c r="BU10" i="1" s="1"/>
  <c r="CK9" i="1"/>
  <c r="AP6" i="1"/>
  <c r="CL5" i="1"/>
  <c r="AO8" i="1"/>
  <c r="DK144" i="1"/>
  <c r="DK138" i="1"/>
  <c r="DI138" i="1" s="1"/>
  <c r="DK137" i="1"/>
  <c r="DI137" i="1" s="1"/>
  <c r="DK157" i="1"/>
  <c r="DK135" i="1"/>
  <c r="DI135" i="1" s="1"/>
  <c r="DK134" i="1"/>
  <c r="DI134" i="1" s="1"/>
  <c r="DK143" i="1"/>
  <c r="DI143" i="1" s="1"/>
  <c r="DK142" i="1"/>
  <c r="DI142" i="1" s="1"/>
  <c r="DK140" i="1"/>
  <c r="DI140" i="1" s="1"/>
  <c r="DK136" i="1"/>
  <c r="DI136" i="1" s="1"/>
  <c r="DK139" i="1"/>
  <c r="DI139" i="1" s="1"/>
  <c r="DK141" i="1"/>
  <c r="DI141" i="1" s="1"/>
  <c r="DI145" i="1"/>
  <c r="DQ238" i="1"/>
  <c r="DQ227" i="1"/>
  <c r="CI5" i="1"/>
  <c r="AJ8" i="1"/>
  <c r="DM43" i="1"/>
  <c r="DM44" i="1" s="1"/>
  <c r="DM5" i="1"/>
  <c r="AW7" i="1"/>
  <c r="AL19" i="1" l="1"/>
  <c r="AL21" i="1" s="1"/>
  <c r="AL22" i="1" s="1"/>
  <c r="AL23" i="1" s="1"/>
  <c r="AL24" i="1" s="1"/>
  <c r="AL25" i="1" s="1"/>
  <c r="AL26" i="1" s="1"/>
  <c r="AL17" i="1"/>
  <c r="AL28" i="1"/>
  <c r="AL29" i="1" s="1"/>
  <c r="CC73" i="1"/>
  <c r="AQ74" i="1"/>
  <c r="CA10" i="1"/>
  <c r="CF10" i="1" s="1"/>
  <c r="CH5" i="1"/>
  <c r="CH6" i="1" s="1"/>
  <c r="CH7" i="1" s="1"/>
  <c r="CH8" i="1" s="1"/>
  <c r="CH9" i="1" s="1"/>
  <c r="BW8" i="1"/>
  <c r="BX8" i="1" s="1"/>
  <c r="BR8" i="1"/>
  <c r="BZ4" i="1"/>
  <c r="BZ5" i="1"/>
  <c r="BJ6" i="1"/>
  <c r="BW6" i="1"/>
  <c r="BX6" i="1" s="1"/>
  <c r="CJ6" i="1"/>
  <c r="AY6" i="1"/>
  <c r="BD6" i="1" s="1"/>
  <c r="AK11" i="1"/>
  <c r="AJ9" i="1"/>
  <c r="CJ8" i="1"/>
  <c r="DN177" i="1"/>
  <c r="DN193" i="1"/>
  <c r="DN176" i="1"/>
  <c r="DN175" i="1"/>
  <c r="DN174" i="1"/>
  <c r="DN173" i="1"/>
  <c r="DN178" i="1"/>
  <c r="DN172" i="1"/>
  <c r="DN171" i="1"/>
  <c r="DN170" i="1"/>
  <c r="DN179" i="1"/>
  <c r="DN180" i="1"/>
  <c r="AM11" i="1"/>
  <c r="BU11" i="1" s="1"/>
  <c r="CK10" i="1"/>
  <c r="AO9" i="1"/>
  <c r="AP7" i="1"/>
  <c r="BJ7" i="1" s="1"/>
  <c r="CL6" i="1"/>
  <c r="DK151" i="1"/>
  <c r="DI151" i="1" s="1"/>
  <c r="DK147" i="1"/>
  <c r="DI147" i="1" s="1"/>
  <c r="DK150" i="1"/>
  <c r="DI150" i="1" s="1"/>
  <c r="DK146" i="1"/>
  <c r="DI146" i="1" s="1"/>
  <c r="DK149" i="1"/>
  <c r="DI149" i="1" s="1"/>
  <c r="DK156" i="1"/>
  <c r="DK155" i="1"/>
  <c r="DI155" i="1" s="1"/>
  <c r="DK148" i="1"/>
  <c r="DI148" i="1" s="1"/>
  <c r="DK154" i="1"/>
  <c r="DI154" i="1" s="1"/>
  <c r="DK169" i="1"/>
  <c r="DK153" i="1"/>
  <c r="DI153" i="1" s="1"/>
  <c r="DK152" i="1"/>
  <c r="DI152" i="1" s="1"/>
  <c r="DI157" i="1"/>
  <c r="DQ239" i="1"/>
  <c r="DM45" i="1"/>
  <c r="DM6" i="1"/>
  <c r="CI6" i="1"/>
  <c r="AW8" i="1"/>
  <c r="AY7" i="1"/>
  <c r="BD7" i="1" s="1"/>
  <c r="AL31" i="1" l="1"/>
  <c r="AL32" i="1" s="1"/>
  <c r="AL33" i="1" s="1"/>
  <c r="AL34" i="1" s="1"/>
  <c r="AL35" i="1" s="1"/>
  <c r="AL36" i="1" s="1"/>
  <c r="AL37" i="1" s="1"/>
  <c r="AL38" i="1" s="1"/>
  <c r="AL39" i="1" s="1"/>
  <c r="AL40" i="1" s="1"/>
  <c r="AL41" i="1" s="1"/>
  <c r="AL42" i="1" s="1"/>
  <c r="AL43" i="1" s="1"/>
  <c r="AL44" i="1" s="1"/>
  <c r="AL45" i="1" s="1"/>
  <c r="AL46" i="1" s="1"/>
  <c r="AL47" i="1" s="1"/>
  <c r="AL48" i="1" s="1"/>
  <c r="AL49" i="1" s="1"/>
  <c r="AL50" i="1" s="1"/>
  <c r="AL51" i="1" s="1"/>
  <c r="AL52" i="1" s="1"/>
  <c r="AL53" i="1" s="1"/>
  <c r="AL54" i="1" s="1"/>
  <c r="AL55" i="1" s="1"/>
  <c r="AL56" i="1" s="1"/>
  <c r="AL57" i="1" s="1"/>
  <c r="AL58" i="1" s="1"/>
  <c r="AL59" i="1" s="1"/>
  <c r="AL60" i="1" s="1"/>
  <c r="AL61" i="1" s="1"/>
  <c r="AL62" i="1" s="1"/>
  <c r="AL63" i="1" s="1"/>
  <c r="AL64" i="1" s="1"/>
  <c r="AL65" i="1" s="1"/>
  <c r="AL66" i="1" s="1"/>
  <c r="AL67" i="1" s="1"/>
  <c r="AL68" i="1" s="1"/>
  <c r="AL69" i="1" s="1"/>
  <c r="AL70" i="1" s="1"/>
  <c r="AL71" i="1" s="1"/>
  <c r="AL72" i="1" s="1"/>
  <c r="AL73" i="1" s="1"/>
  <c r="AL74" i="1" s="1"/>
  <c r="AL75" i="1" s="1"/>
  <c r="AL76" i="1" s="1"/>
  <c r="AL77" i="1" s="1"/>
  <c r="AL78" i="1" s="1"/>
  <c r="AL79" i="1" s="1"/>
  <c r="AL80" i="1" s="1"/>
  <c r="AL81" i="1" s="1"/>
  <c r="AL82" i="1" s="1"/>
  <c r="AL83" i="1" s="1"/>
  <c r="AL84" i="1" s="1"/>
  <c r="AL85" i="1" s="1"/>
  <c r="AL86" i="1" s="1"/>
  <c r="AL87" i="1" s="1"/>
  <c r="AL88" i="1" s="1"/>
  <c r="AL89" i="1" s="1"/>
  <c r="AL90" i="1" s="1"/>
  <c r="AL91" i="1" s="1"/>
  <c r="AL92" i="1" s="1"/>
  <c r="AL93" i="1" s="1"/>
  <c r="AL94" i="1" s="1"/>
  <c r="AL95" i="1" s="1"/>
  <c r="AL96" i="1" s="1"/>
  <c r="AL97" i="1" s="1"/>
  <c r="AL98" i="1" s="1"/>
  <c r="AL99" i="1" s="1"/>
  <c r="AL100" i="1" s="1"/>
  <c r="AL101" i="1" s="1"/>
  <c r="AL102" i="1" s="1"/>
  <c r="AL103" i="1" s="1"/>
  <c r="AL104" i="1" s="1"/>
  <c r="AL105" i="1" s="1"/>
  <c r="AL106" i="1" s="1"/>
  <c r="AL107" i="1" s="1"/>
  <c r="AL108" i="1" s="1"/>
  <c r="AL109" i="1" s="1"/>
  <c r="AL110" i="1" s="1"/>
  <c r="AL111" i="1" s="1"/>
  <c r="AL112" i="1" s="1"/>
  <c r="AL113" i="1" s="1"/>
  <c r="AL114" i="1" s="1"/>
  <c r="AL115" i="1" s="1"/>
  <c r="AL116" i="1" s="1"/>
  <c r="AL117" i="1" s="1"/>
  <c r="AL118" i="1" s="1"/>
  <c r="AL119" i="1" s="1"/>
  <c r="AL120" i="1" s="1"/>
  <c r="AL121" i="1" s="1"/>
  <c r="AL122" i="1" s="1"/>
  <c r="AL123" i="1" s="1"/>
  <c r="AL124" i="1" s="1"/>
  <c r="AL125" i="1" s="1"/>
  <c r="AL126" i="1" s="1"/>
  <c r="AL127" i="1" s="1"/>
  <c r="AL128" i="1" s="1"/>
  <c r="AL129" i="1" s="1"/>
  <c r="AL130" i="1" s="1"/>
  <c r="AL131" i="1" s="1"/>
  <c r="AL132" i="1" s="1"/>
  <c r="AL133" i="1" s="1"/>
  <c r="AL134" i="1" s="1"/>
  <c r="AL135" i="1" s="1"/>
  <c r="AL136" i="1" s="1"/>
  <c r="AL137" i="1" s="1"/>
  <c r="AL138" i="1" s="1"/>
  <c r="AL139" i="1" s="1"/>
  <c r="AL140" i="1" s="1"/>
  <c r="AL141" i="1" s="1"/>
  <c r="AL142" i="1" s="1"/>
  <c r="AL143" i="1" s="1"/>
  <c r="AL144" i="1" s="1"/>
  <c r="AL145" i="1" s="1"/>
  <c r="AL146" i="1" s="1"/>
  <c r="AL147" i="1" s="1"/>
  <c r="AL148" i="1" s="1"/>
  <c r="AL149" i="1" s="1"/>
  <c r="AL150" i="1" s="1"/>
  <c r="AL151" i="1" s="1"/>
  <c r="AL152" i="1" s="1"/>
  <c r="AL153" i="1" s="1"/>
  <c r="AL154" i="1" s="1"/>
  <c r="AL155" i="1" s="1"/>
  <c r="AL156" i="1" s="1"/>
  <c r="AL157" i="1" s="1"/>
  <c r="AL158" i="1" s="1"/>
  <c r="AL159" i="1" s="1"/>
  <c r="AL160" i="1" s="1"/>
  <c r="AL161" i="1" s="1"/>
  <c r="AL162" i="1" s="1"/>
  <c r="AL163" i="1" s="1"/>
  <c r="AL164" i="1" s="1"/>
  <c r="AL165" i="1" s="1"/>
  <c r="AL166" i="1" s="1"/>
  <c r="AL167" i="1" s="1"/>
  <c r="AL168" i="1" s="1"/>
  <c r="AL169" i="1" s="1"/>
  <c r="AL170" i="1" s="1"/>
  <c r="AL171" i="1" s="1"/>
  <c r="AL172" i="1" s="1"/>
  <c r="AL173" i="1" s="1"/>
  <c r="AL174" i="1" s="1"/>
  <c r="AL175" i="1" s="1"/>
  <c r="AL176" i="1" s="1"/>
  <c r="AL177" i="1" s="1"/>
  <c r="AL178" i="1" s="1"/>
  <c r="AL179" i="1" s="1"/>
  <c r="AL180" i="1" s="1"/>
  <c r="AL181" i="1" s="1"/>
  <c r="AL182" i="1" s="1"/>
  <c r="AL183" i="1" s="1"/>
  <c r="AL184" i="1" s="1"/>
  <c r="AL185" i="1" s="1"/>
  <c r="AL186" i="1" s="1"/>
  <c r="AL187" i="1" s="1"/>
  <c r="AL188" i="1" s="1"/>
  <c r="AL189" i="1" s="1"/>
  <c r="AL190" i="1" s="1"/>
  <c r="AL191" i="1" s="1"/>
  <c r="AL192" i="1" s="1"/>
  <c r="AL193" i="1" s="1"/>
  <c r="AL194" i="1" s="1"/>
  <c r="AL195" i="1" s="1"/>
  <c r="AL196" i="1" s="1"/>
  <c r="AL197" i="1" s="1"/>
  <c r="AL198" i="1" s="1"/>
  <c r="AL199" i="1" s="1"/>
  <c r="AL200" i="1" s="1"/>
  <c r="AL201" i="1" s="1"/>
  <c r="AL202" i="1" s="1"/>
  <c r="AL203" i="1" s="1"/>
  <c r="AL204" i="1" s="1"/>
  <c r="AL205" i="1" s="1"/>
  <c r="AL206" i="1" s="1"/>
  <c r="AL207" i="1" s="1"/>
  <c r="AL208" i="1" s="1"/>
  <c r="AL209" i="1" s="1"/>
  <c r="AL210" i="1" s="1"/>
  <c r="AL211" i="1" s="1"/>
  <c r="AL212" i="1" s="1"/>
  <c r="AL213" i="1" s="1"/>
  <c r="AL214" i="1" s="1"/>
  <c r="AL215" i="1" s="1"/>
  <c r="AL216" i="1" s="1"/>
  <c r="AL217" i="1" s="1"/>
  <c r="AL218" i="1" s="1"/>
  <c r="AL219" i="1" s="1"/>
  <c r="AL220" i="1" s="1"/>
  <c r="AL221" i="1" s="1"/>
  <c r="AL222" i="1" s="1"/>
  <c r="AL223" i="1" s="1"/>
  <c r="AL224" i="1" s="1"/>
  <c r="AL225" i="1" s="1"/>
  <c r="AL226" i="1" s="1"/>
  <c r="AL227" i="1" s="1"/>
  <c r="AL228" i="1" s="1"/>
  <c r="AL229" i="1" s="1"/>
  <c r="AL230" i="1" s="1"/>
  <c r="AL231" i="1" s="1"/>
  <c r="AL232" i="1" s="1"/>
  <c r="AL233" i="1" s="1"/>
  <c r="AL234" i="1" s="1"/>
  <c r="AL235" i="1" s="1"/>
  <c r="AL236" i="1" s="1"/>
  <c r="AL237" i="1" s="1"/>
  <c r="AL238" i="1" s="1"/>
  <c r="AL239" i="1" s="1"/>
  <c r="AL240" i="1" s="1"/>
  <c r="AL241" i="1" s="1"/>
  <c r="AL242" i="1" s="1"/>
  <c r="AL243" i="1" s="1"/>
  <c r="AL244" i="1" s="1"/>
  <c r="AL245" i="1" s="1"/>
  <c r="AL246" i="1" s="1"/>
  <c r="AL247" i="1" s="1"/>
  <c r="AL248" i="1" s="1"/>
  <c r="AL249" i="1" s="1"/>
  <c r="AL250" i="1" s="1"/>
  <c r="AL251" i="1" s="1"/>
  <c r="AL252" i="1" s="1"/>
  <c r="AL253" i="1" s="1"/>
  <c r="AL254" i="1" s="1"/>
  <c r="AL255" i="1" s="1"/>
  <c r="AL256" i="1" s="1"/>
  <c r="AL257" i="1" s="1"/>
  <c r="AL258" i="1" s="1"/>
  <c r="AL259" i="1" s="1"/>
  <c r="AL260" i="1" s="1"/>
  <c r="AL261" i="1" s="1"/>
  <c r="AL262" i="1" s="1"/>
  <c r="AL263" i="1" s="1"/>
  <c r="AL264" i="1" s="1"/>
  <c r="AL265" i="1" s="1"/>
  <c r="AL266" i="1" s="1"/>
  <c r="AL267" i="1" s="1"/>
  <c r="AL268" i="1" s="1"/>
  <c r="AL269" i="1" s="1"/>
  <c r="AL270" i="1" s="1"/>
  <c r="AL271" i="1" s="1"/>
  <c r="AL272" i="1" s="1"/>
  <c r="AL273" i="1" s="1"/>
  <c r="AL274" i="1" s="1"/>
  <c r="AL275" i="1" s="1"/>
  <c r="AL276" i="1" s="1"/>
  <c r="AL277" i="1" s="1"/>
  <c r="AL278" i="1" s="1"/>
  <c r="AL279" i="1" s="1"/>
  <c r="AL280" i="1" s="1"/>
  <c r="AL281" i="1" s="1"/>
  <c r="AL282" i="1" s="1"/>
  <c r="AL283" i="1" s="1"/>
  <c r="AL284" i="1" s="1"/>
  <c r="AL285" i="1" s="1"/>
  <c r="AL286" i="1" s="1"/>
  <c r="AL287" i="1" s="1"/>
  <c r="AL288" i="1" s="1"/>
  <c r="AL289" i="1" s="1"/>
  <c r="AL290" i="1" s="1"/>
  <c r="AL291" i="1" s="1"/>
  <c r="AL292" i="1" s="1"/>
  <c r="AL293" i="1" s="1"/>
  <c r="AL294" i="1" s="1"/>
  <c r="AL295" i="1" s="1"/>
  <c r="AL296" i="1" s="1"/>
  <c r="AL297" i="1" s="1"/>
  <c r="AL298" i="1" s="1"/>
  <c r="AL299" i="1" s="1"/>
  <c r="AL300" i="1" s="1"/>
  <c r="AL301" i="1" s="1"/>
  <c r="CH10" i="1"/>
  <c r="CC74" i="1"/>
  <c r="AQ75" i="1"/>
  <c r="CE73" i="1"/>
  <c r="CF73" i="1" s="1"/>
  <c r="CD62" i="1"/>
  <c r="CA11" i="1"/>
  <c r="CF11" i="1" s="1"/>
  <c r="CH11" i="1" s="1"/>
  <c r="BW9" i="1"/>
  <c r="BX9" i="1" s="1"/>
  <c r="BR9" i="1"/>
  <c r="BZ6" i="1"/>
  <c r="BZ7" i="1" s="1"/>
  <c r="BZ8" i="1" s="1"/>
  <c r="BZ9" i="1" s="1"/>
  <c r="BB6" i="1"/>
  <c r="AK12" i="1"/>
  <c r="AJ10" i="1"/>
  <c r="CJ9" i="1"/>
  <c r="DN189" i="1"/>
  <c r="DN188" i="1"/>
  <c r="DN187" i="1"/>
  <c r="DN186" i="1"/>
  <c r="DN185" i="1"/>
  <c r="DN184" i="1"/>
  <c r="DN192" i="1"/>
  <c r="DN191" i="1"/>
  <c r="DN190" i="1"/>
  <c r="DN183" i="1"/>
  <c r="DN205" i="1"/>
  <c r="DN182" i="1"/>
  <c r="AM12" i="1"/>
  <c r="BU12" i="1" s="1"/>
  <c r="CK11" i="1"/>
  <c r="AP8" i="1"/>
  <c r="BJ8" i="1" s="1"/>
  <c r="CL7" i="1"/>
  <c r="AO10" i="1"/>
  <c r="DK166" i="1"/>
  <c r="DI166" i="1" s="1"/>
  <c r="DK160" i="1"/>
  <c r="DI160" i="1" s="1"/>
  <c r="DK165" i="1"/>
  <c r="DI165" i="1" s="1"/>
  <c r="DK164" i="1"/>
  <c r="DI164" i="1" s="1"/>
  <c r="DK163" i="1"/>
  <c r="DI163" i="1" s="1"/>
  <c r="DK158" i="1"/>
  <c r="DI158" i="1" s="1"/>
  <c r="DK181" i="1"/>
  <c r="DK162" i="1"/>
  <c r="DI162" i="1" s="1"/>
  <c r="DK159" i="1"/>
  <c r="DI159" i="1" s="1"/>
  <c r="DK161" i="1"/>
  <c r="DI161" i="1" s="1"/>
  <c r="DK168" i="1"/>
  <c r="DK167" i="1"/>
  <c r="DI167" i="1" s="1"/>
  <c r="DI169" i="1"/>
  <c r="BB7" i="1"/>
  <c r="DM46" i="1"/>
  <c r="DM7" i="1"/>
  <c r="CI7" i="1"/>
  <c r="CI8" i="1"/>
  <c r="AY8" i="1"/>
  <c r="BD8" i="1" s="1"/>
  <c r="AW9" i="1"/>
  <c r="CC75" i="1" l="1"/>
  <c r="CE75" i="1" s="1"/>
  <c r="CF75" i="1" s="1"/>
  <c r="AQ76" i="1"/>
  <c r="CE74" i="1"/>
  <c r="CF74" i="1" s="1"/>
  <c r="CA12" i="1"/>
  <c r="CF12" i="1" s="1"/>
  <c r="CH12" i="1" s="1"/>
  <c r="BW10" i="1"/>
  <c r="BX10" i="1" s="1"/>
  <c r="BR10" i="1"/>
  <c r="BZ10" i="1"/>
  <c r="AK13" i="1"/>
  <c r="AJ11" i="1"/>
  <c r="CJ10" i="1"/>
  <c r="DN217" i="1"/>
  <c r="DN194" i="1"/>
  <c r="DN204" i="1"/>
  <c r="DN203" i="1"/>
  <c r="DN202" i="1"/>
  <c r="DN201" i="1"/>
  <c r="DN200" i="1"/>
  <c r="DN199" i="1"/>
  <c r="DN198" i="1"/>
  <c r="DN197" i="1"/>
  <c r="DN196" i="1"/>
  <c r="DN195" i="1"/>
  <c r="AM13" i="1"/>
  <c r="BU13" i="1" s="1"/>
  <c r="CK12" i="1"/>
  <c r="AO11" i="1"/>
  <c r="AP9" i="1"/>
  <c r="BJ9" i="1" s="1"/>
  <c r="CL8" i="1"/>
  <c r="DK180" i="1"/>
  <c r="DK178" i="1"/>
  <c r="DI178" i="1" s="1"/>
  <c r="DK177" i="1"/>
  <c r="DI177" i="1" s="1"/>
  <c r="DK176" i="1"/>
  <c r="DI176" i="1" s="1"/>
  <c r="DK175" i="1"/>
  <c r="DI175" i="1" s="1"/>
  <c r="DK171" i="1"/>
  <c r="DI171" i="1" s="1"/>
  <c r="DK193" i="1"/>
  <c r="DK174" i="1"/>
  <c r="DI174" i="1" s="1"/>
  <c r="DK170" i="1"/>
  <c r="DI170" i="1" s="1"/>
  <c r="DK173" i="1"/>
  <c r="DI173" i="1" s="1"/>
  <c r="DK172" i="1"/>
  <c r="DI172" i="1" s="1"/>
  <c r="DK179" i="1"/>
  <c r="DI179" i="1" s="1"/>
  <c r="DI181" i="1"/>
  <c r="BB8" i="1"/>
  <c r="DM8" i="1"/>
  <c r="AY10" i="1"/>
  <c r="BD10" i="1" s="1"/>
  <c r="AY9" i="1"/>
  <c r="BD9" i="1" s="1"/>
  <c r="CI9" i="1"/>
  <c r="CC76" i="1" l="1"/>
  <c r="AQ77" i="1"/>
  <c r="CA13" i="1"/>
  <c r="BW11" i="1"/>
  <c r="BX11" i="1" s="1"/>
  <c r="BZ11" i="1" s="1"/>
  <c r="BR11" i="1"/>
  <c r="BV2" i="1"/>
  <c r="AK14" i="1"/>
  <c r="AK15" i="1" s="1"/>
  <c r="AK16" i="1" s="1"/>
  <c r="AK17" i="1" s="1"/>
  <c r="AK18" i="1" s="1"/>
  <c r="AK19" i="1" s="1"/>
  <c r="AK21" i="1" s="1"/>
  <c r="AK22" i="1" s="1"/>
  <c r="AK23" i="1" s="1"/>
  <c r="AK24" i="1" s="1"/>
  <c r="AK25" i="1" s="1"/>
  <c r="AK26" i="1" s="1"/>
  <c r="AK27" i="1" s="1"/>
  <c r="AK28" i="1" s="1"/>
  <c r="AK29" i="1" s="1"/>
  <c r="AK30" i="1" s="1"/>
  <c r="AK31" i="1" s="1"/>
  <c r="AK32" i="1" s="1"/>
  <c r="AK33" i="1" s="1"/>
  <c r="AK34" i="1" s="1"/>
  <c r="AK35" i="1" s="1"/>
  <c r="AK36" i="1" s="1"/>
  <c r="AK37" i="1" s="1"/>
  <c r="AK38" i="1" s="1"/>
  <c r="AK39" i="1" s="1"/>
  <c r="AK40" i="1" s="1"/>
  <c r="AK41" i="1" s="1"/>
  <c r="AK42" i="1" s="1"/>
  <c r="AK43" i="1" s="1"/>
  <c r="AK44" i="1" s="1"/>
  <c r="AK45" i="1" s="1"/>
  <c r="AK46" i="1" s="1"/>
  <c r="AK47" i="1" s="1"/>
  <c r="AK48" i="1" s="1"/>
  <c r="AK49" i="1" s="1"/>
  <c r="AK50" i="1" s="1"/>
  <c r="AK51" i="1" s="1"/>
  <c r="AK52" i="1" s="1"/>
  <c r="AK53" i="1" s="1"/>
  <c r="AK54" i="1" s="1"/>
  <c r="AK55" i="1" s="1"/>
  <c r="AK56" i="1" s="1"/>
  <c r="AK57" i="1" s="1"/>
  <c r="AK58" i="1" s="1"/>
  <c r="AK59" i="1" s="1"/>
  <c r="AK60" i="1" s="1"/>
  <c r="AK61" i="1" s="1"/>
  <c r="AK62" i="1" s="1"/>
  <c r="AK63" i="1" s="1"/>
  <c r="AK64" i="1" s="1"/>
  <c r="AK65" i="1" s="1"/>
  <c r="AK66" i="1" s="1"/>
  <c r="AK67" i="1" s="1"/>
  <c r="AK68" i="1" s="1"/>
  <c r="AK69" i="1" s="1"/>
  <c r="AK70" i="1" s="1"/>
  <c r="AK71" i="1" s="1"/>
  <c r="AK72" i="1" s="1"/>
  <c r="AK73" i="1" s="1"/>
  <c r="AK74" i="1" s="1"/>
  <c r="AK75" i="1" s="1"/>
  <c r="AK76" i="1" s="1"/>
  <c r="AK77" i="1" s="1"/>
  <c r="AK78" i="1" s="1"/>
  <c r="AK79" i="1" s="1"/>
  <c r="AK80" i="1" s="1"/>
  <c r="AK81" i="1" s="1"/>
  <c r="AK82" i="1" s="1"/>
  <c r="AK83" i="1" s="1"/>
  <c r="AK84" i="1" s="1"/>
  <c r="AK85" i="1" s="1"/>
  <c r="AK86" i="1" s="1"/>
  <c r="AK87" i="1" s="1"/>
  <c r="AK88" i="1" s="1"/>
  <c r="AK89" i="1" s="1"/>
  <c r="AK90" i="1" s="1"/>
  <c r="AK91" i="1" s="1"/>
  <c r="AK92" i="1" s="1"/>
  <c r="AK93" i="1" s="1"/>
  <c r="AK94" i="1" s="1"/>
  <c r="AK95" i="1" s="1"/>
  <c r="AK96" i="1" s="1"/>
  <c r="AK97" i="1" s="1"/>
  <c r="AK98" i="1" s="1"/>
  <c r="AK99" i="1" s="1"/>
  <c r="AK100" i="1" s="1"/>
  <c r="AK101" i="1" s="1"/>
  <c r="AK102" i="1" s="1"/>
  <c r="AK103" i="1" s="1"/>
  <c r="AK104" i="1" s="1"/>
  <c r="AK105" i="1" s="1"/>
  <c r="AK106" i="1" s="1"/>
  <c r="AK107" i="1" s="1"/>
  <c r="AK108" i="1" s="1"/>
  <c r="AK109" i="1" s="1"/>
  <c r="AK110" i="1" s="1"/>
  <c r="AK111" i="1" s="1"/>
  <c r="AK112" i="1" s="1"/>
  <c r="AK113" i="1" s="1"/>
  <c r="AK114" i="1" s="1"/>
  <c r="AK115" i="1" s="1"/>
  <c r="AK116" i="1" s="1"/>
  <c r="AK117" i="1" s="1"/>
  <c r="AK118" i="1" s="1"/>
  <c r="AK119" i="1" s="1"/>
  <c r="AK120" i="1" s="1"/>
  <c r="AK121" i="1" s="1"/>
  <c r="AK122" i="1" s="1"/>
  <c r="AK123" i="1" s="1"/>
  <c r="AK124" i="1" s="1"/>
  <c r="AK125" i="1" s="1"/>
  <c r="AK126" i="1" s="1"/>
  <c r="AK127" i="1" s="1"/>
  <c r="AK128" i="1" s="1"/>
  <c r="AK129" i="1" s="1"/>
  <c r="AK130" i="1" s="1"/>
  <c r="AK131" i="1" s="1"/>
  <c r="AK132" i="1" s="1"/>
  <c r="AK133" i="1" s="1"/>
  <c r="AK134" i="1" s="1"/>
  <c r="AK135" i="1" s="1"/>
  <c r="AK136" i="1" s="1"/>
  <c r="AK137" i="1" s="1"/>
  <c r="AK138" i="1" s="1"/>
  <c r="AK139" i="1" s="1"/>
  <c r="AK140" i="1" s="1"/>
  <c r="AK141" i="1" s="1"/>
  <c r="AK142" i="1" s="1"/>
  <c r="AK143" i="1" s="1"/>
  <c r="AK144" i="1" s="1"/>
  <c r="AK145" i="1" s="1"/>
  <c r="AK146" i="1" s="1"/>
  <c r="AK147" i="1" s="1"/>
  <c r="AK148" i="1" s="1"/>
  <c r="AK149" i="1" s="1"/>
  <c r="AK150" i="1" s="1"/>
  <c r="AK151" i="1" s="1"/>
  <c r="AK152" i="1" s="1"/>
  <c r="AK153" i="1" s="1"/>
  <c r="AK154" i="1" s="1"/>
  <c r="AK155" i="1" s="1"/>
  <c r="AK156" i="1" s="1"/>
  <c r="AK157" i="1" s="1"/>
  <c r="AK158" i="1" s="1"/>
  <c r="AK159" i="1" s="1"/>
  <c r="AK160" i="1" s="1"/>
  <c r="AK161" i="1" s="1"/>
  <c r="AK162" i="1" s="1"/>
  <c r="AK163" i="1" s="1"/>
  <c r="AK164" i="1" s="1"/>
  <c r="AK165" i="1" s="1"/>
  <c r="AK166" i="1" s="1"/>
  <c r="AK167" i="1" s="1"/>
  <c r="AK168" i="1" s="1"/>
  <c r="AK169" i="1" s="1"/>
  <c r="AK170" i="1" s="1"/>
  <c r="AK171" i="1" s="1"/>
  <c r="AK172" i="1" s="1"/>
  <c r="AK173" i="1" s="1"/>
  <c r="AK174" i="1" s="1"/>
  <c r="AK175" i="1" s="1"/>
  <c r="AK176" i="1" s="1"/>
  <c r="AK177" i="1" s="1"/>
  <c r="AK178" i="1" s="1"/>
  <c r="AK179" i="1" s="1"/>
  <c r="AK180" i="1" s="1"/>
  <c r="AK181" i="1" s="1"/>
  <c r="AK182" i="1" s="1"/>
  <c r="AK183" i="1" s="1"/>
  <c r="AK184" i="1" s="1"/>
  <c r="AK185" i="1" s="1"/>
  <c r="AK186" i="1" s="1"/>
  <c r="AK187" i="1" s="1"/>
  <c r="AK188" i="1" s="1"/>
  <c r="AK189" i="1" s="1"/>
  <c r="AK190" i="1" s="1"/>
  <c r="AK191" i="1" s="1"/>
  <c r="AK192" i="1" s="1"/>
  <c r="AK193" i="1" s="1"/>
  <c r="AK194" i="1" s="1"/>
  <c r="AK195" i="1" s="1"/>
  <c r="AK196" i="1" s="1"/>
  <c r="AK197" i="1" s="1"/>
  <c r="AK198" i="1" s="1"/>
  <c r="AK199" i="1" s="1"/>
  <c r="AK200" i="1" s="1"/>
  <c r="AK201" i="1" s="1"/>
  <c r="AK202" i="1" s="1"/>
  <c r="AK203" i="1" s="1"/>
  <c r="AK204" i="1" s="1"/>
  <c r="AK205" i="1" s="1"/>
  <c r="AK206" i="1" s="1"/>
  <c r="AK207" i="1" s="1"/>
  <c r="AK208" i="1" s="1"/>
  <c r="AK209" i="1" s="1"/>
  <c r="AK210" i="1" s="1"/>
  <c r="AK211" i="1" s="1"/>
  <c r="AK212" i="1" s="1"/>
  <c r="AK213" i="1" s="1"/>
  <c r="AK214" i="1" s="1"/>
  <c r="AK215" i="1" s="1"/>
  <c r="AK216" i="1" s="1"/>
  <c r="AK217" i="1" s="1"/>
  <c r="AK218" i="1" s="1"/>
  <c r="AK219" i="1" s="1"/>
  <c r="AK220" i="1" s="1"/>
  <c r="AK221" i="1" s="1"/>
  <c r="AK222" i="1" s="1"/>
  <c r="AK223" i="1" s="1"/>
  <c r="AK224" i="1" s="1"/>
  <c r="AK225" i="1" s="1"/>
  <c r="AK226" i="1" s="1"/>
  <c r="AK227" i="1" s="1"/>
  <c r="AK228" i="1" s="1"/>
  <c r="AK229" i="1" s="1"/>
  <c r="AK230" i="1" s="1"/>
  <c r="AK231" i="1" s="1"/>
  <c r="AK232" i="1" s="1"/>
  <c r="AK233" i="1" s="1"/>
  <c r="AK234" i="1" s="1"/>
  <c r="AK235" i="1" s="1"/>
  <c r="AK236" i="1" s="1"/>
  <c r="AK237" i="1" s="1"/>
  <c r="AK238" i="1" s="1"/>
  <c r="AK239" i="1" s="1"/>
  <c r="AK240" i="1" s="1"/>
  <c r="AK241" i="1" s="1"/>
  <c r="AK242" i="1" s="1"/>
  <c r="AK243" i="1" s="1"/>
  <c r="AK244" i="1" s="1"/>
  <c r="AK245" i="1" s="1"/>
  <c r="AK246" i="1" s="1"/>
  <c r="AK247" i="1" s="1"/>
  <c r="AK248" i="1" s="1"/>
  <c r="AK249" i="1" s="1"/>
  <c r="AK250" i="1" s="1"/>
  <c r="AK251" i="1" s="1"/>
  <c r="AK252" i="1" s="1"/>
  <c r="AK253" i="1" s="1"/>
  <c r="AK254" i="1" s="1"/>
  <c r="AK255" i="1" s="1"/>
  <c r="AK256" i="1" s="1"/>
  <c r="AK257" i="1" s="1"/>
  <c r="AK258" i="1" s="1"/>
  <c r="AK259" i="1" s="1"/>
  <c r="AK260" i="1" s="1"/>
  <c r="AK261" i="1" s="1"/>
  <c r="AK262" i="1" s="1"/>
  <c r="AK263" i="1" s="1"/>
  <c r="AK264" i="1" s="1"/>
  <c r="AK265" i="1" s="1"/>
  <c r="AK266" i="1" s="1"/>
  <c r="AK267" i="1" s="1"/>
  <c r="AK268" i="1" s="1"/>
  <c r="AK269" i="1" s="1"/>
  <c r="AK270" i="1" s="1"/>
  <c r="AK271" i="1" s="1"/>
  <c r="AK272" i="1" s="1"/>
  <c r="AK273" i="1" s="1"/>
  <c r="AK274" i="1" s="1"/>
  <c r="AK275" i="1" s="1"/>
  <c r="AK276" i="1" s="1"/>
  <c r="AK277" i="1" s="1"/>
  <c r="AK278" i="1" s="1"/>
  <c r="AK279" i="1" s="1"/>
  <c r="AK280" i="1" s="1"/>
  <c r="AK281" i="1" s="1"/>
  <c r="AK282" i="1" s="1"/>
  <c r="AK283" i="1" s="1"/>
  <c r="AK284" i="1" s="1"/>
  <c r="AK285" i="1" s="1"/>
  <c r="AK286" i="1" s="1"/>
  <c r="AK287" i="1" s="1"/>
  <c r="AK288" i="1" s="1"/>
  <c r="AK289" i="1" s="1"/>
  <c r="AK290" i="1" s="1"/>
  <c r="AK291" i="1" s="1"/>
  <c r="AK292" i="1" s="1"/>
  <c r="AK293" i="1" s="1"/>
  <c r="AK294" i="1" s="1"/>
  <c r="AK295" i="1" s="1"/>
  <c r="AK296" i="1" s="1"/>
  <c r="AK297" i="1" s="1"/>
  <c r="AK298" i="1" s="1"/>
  <c r="AK299" i="1" s="1"/>
  <c r="AK300" i="1" s="1"/>
  <c r="AK301" i="1" s="1"/>
  <c r="AJ12" i="1"/>
  <c r="CJ11" i="1"/>
  <c r="DN206" i="1"/>
  <c r="DN229" i="1"/>
  <c r="DN216" i="1"/>
  <c r="DN215" i="1"/>
  <c r="DN214" i="1"/>
  <c r="DN213" i="1"/>
  <c r="DN212" i="1"/>
  <c r="DN211" i="1"/>
  <c r="DN210" i="1"/>
  <c r="DN209" i="1"/>
  <c r="DN208" i="1"/>
  <c r="DN207" i="1"/>
  <c r="AM14" i="1"/>
  <c r="BU14" i="1" s="1"/>
  <c r="CK13" i="1"/>
  <c r="CZ2" i="1" s="1"/>
  <c r="Q8" i="18" s="1"/>
  <c r="AO12" i="1"/>
  <c r="AP10" i="1"/>
  <c r="BJ10" i="1" s="1"/>
  <c r="CL9" i="1"/>
  <c r="DK192" i="1"/>
  <c r="DK205" i="1"/>
  <c r="DK182" i="1"/>
  <c r="DI182" i="1" s="1"/>
  <c r="DK183" i="1"/>
  <c r="DK190" i="1"/>
  <c r="DK188" i="1"/>
  <c r="DK187" i="1"/>
  <c r="DK186" i="1"/>
  <c r="DK185" i="1"/>
  <c r="DK191" i="1"/>
  <c r="DK189" i="1"/>
  <c r="DK184" i="1"/>
  <c r="DI193" i="1"/>
  <c r="BB9" i="1"/>
  <c r="BB10" i="1"/>
  <c r="DM47" i="1"/>
  <c r="DM9" i="1"/>
  <c r="AW10" i="1"/>
  <c r="CI10" i="1"/>
  <c r="AY11" i="1"/>
  <c r="BD11" i="1" s="1"/>
  <c r="CB2" i="1" l="1"/>
  <c r="CF13" i="1"/>
  <c r="CC77" i="1"/>
  <c r="CE77" i="1" s="1"/>
  <c r="CF77" i="1" s="1"/>
  <c r="AQ78" i="1"/>
  <c r="CE76" i="1"/>
  <c r="CF76" i="1" s="1"/>
  <c r="CA14" i="1"/>
  <c r="CF14" i="1" s="1"/>
  <c r="BW12" i="1"/>
  <c r="BX12" i="1" s="1"/>
  <c r="BZ12" i="1" s="1"/>
  <c r="BR12" i="1"/>
  <c r="AJ13" i="1"/>
  <c r="CJ12" i="1"/>
  <c r="DN241" i="1"/>
  <c r="DN253" i="1" s="1"/>
  <c r="DN228" i="1"/>
  <c r="DN227" i="1"/>
  <c r="DN226" i="1"/>
  <c r="DN225" i="1"/>
  <c r="DN224" i="1"/>
  <c r="DN223" i="1"/>
  <c r="DN222" i="1"/>
  <c r="DN221" i="1"/>
  <c r="DN220" i="1"/>
  <c r="DN219" i="1"/>
  <c r="DN218" i="1"/>
  <c r="AM15" i="1"/>
  <c r="BU15" i="1" s="1"/>
  <c r="CK14" i="1"/>
  <c r="AP11" i="1"/>
  <c r="BJ11" i="1" s="1"/>
  <c r="CL10" i="1"/>
  <c r="AO13" i="1"/>
  <c r="DK204" i="1"/>
  <c r="DK203" i="1"/>
  <c r="DK196" i="1"/>
  <c r="DK194" i="1"/>
  <c r="DK202" i="1"/>
  <c r="DK201" i="1"/>
  <c r="DK200" i="1"/>
  <c r="DK217" i="1"/>
  <c r="DK199" i="1"/>
  <c r="DK198" i="1"/>
  <c r="DK197" i="1"/>
  <c r="DK195" i="1"/>
  <c r="DI205" i="1"/>
  <c r="BB11" i="1"/>
  <c r="DM48" i="1"/>
  <c r="DM49" i="1" s="1"/>
  <c r="T38" i="1"/>
  <c r="AW11" i="1"/>
  <c r="DM10" i="1"/>
  <c r="AW12" i="1"/>
  <c r="CI11" i="1"/>
  <c r="CG2" i="1" l="1"/>
  <c r="CH13" i="1"/>
  <c r="CH14" i="1" s="1"/>
  <c r="CC78" i="1"/>
  <c r="AQ79" i="1"/>
  <c r="CA15" i="1"/>
  <c r="CF15" i="1" s="1"/>
  <c r="BW13" i="1"/>
  <c r="BX13" i="1" s="1"/>
  <c r="BY2" i="1" s="1"/>
  <c r="BR13" i="1"/>
  <c r="AJ14" i="1"/>
  <c r="CJ13" i="1"/>
  <c r="DN251" i="1"/>
  <c r="DN250" i="1"/>
  <c r="DN247" i="1"/>
  <c r="DN265" i="1"/>
  <c r="DN252" i="1"/>
  <c r="DN244" i="1"/>
  <c r="DN249" i="1"/>
  <c r="DN246" i="1"/>
  <c r="DN243" i="1"/>
  <c r="DN248" i="1"/>
  <c r="DN245" i="1"/>
  <c r="DN242" i="1"/>
  <c r="DN230" i="1"/>
  <c r="DN240" i="1"/>
  <c r="DN239" i="1"/>
  <c r="DN238" i="1"/>
  <c r="DN237" i="1"/>
  <c r="DN236" i="1"/>
  <c r="DN235" i="1"/>
  <c r="DN234" i="1"/>
  <c r="DN233" i="1"/>
  <c r="DN232" i="1"/>
  <c r="DN231" i="1"/>
  <c r="AM16" i="1"/>
  <c r="BU16" i="1" s="1"/>
  <c r="CK15" i="1"/>
  <c r="AP12" i="1"/>
  <c r="BJ12" i="1" s="1"/>
  <c r="CL11" i="1"/>
  <c r="DK212" i="1"/>
  <c r="DI212" i="1" s="1"/>
  <c r="DK229" i="1"/>
  <c r="DK211" i="1"/>
  <c r="DI211" i="1" s="1"/>
  <c r="DK210" i="1"/>
  <c r="DI210" i="1" s="1"/>
  <c r="DK209" i="1"/>
  <c r="DI209" i="1" s="1"/>
  <c r="DK216" i="1"/>
  <c r="DK208" i="1"/>
  <c r="DI208" i="1" s="1"/>
  <c r="DK215" i="1"/>
  <c r="DI215" i="1" s="1"/>
  <c r="DK206" i="1"/>
  <c r="DI206" i="1" s="1"/>
  <c r="DK214" i="1"/>
  <c r="DI214" i="1" s="1"/>
  <c r="DK207" i="1"/>
  <c r="DI207" i="1" s="1"/>
  <c r="DK213" i="1"/>
  <c r="DI213" i="1" s="1"/>
  <c r="DI217" i="1"/>
  <c r="DM11" i="1"/>
  <c r="AY13" i="1"/>
  <c r="BD13" i="1" s="1"/>
  <c r="CI12" i="1"/>
  <c r="AY12" i="1"/>
  <c r="BD12" i="1" s="1"/>
  <c r="CH15" i="1" l="1"/>
  <c r="BZ13" i="1"/>
  <c r="CC79" i="1"/>
  <c r="CE79" i="1" s="1"/>
  <c r="CF79" i="1" s="1"/>
  <c r="AQ80" i="1"/>
  <c r="CE78" i="1"/>
  <c r="CF78" i="1" s="1"/>
  <c r="CA16" i="1"/>
  <c r="CF16" i="1" s="1"/>
  <c r="CH16" i="1" s="1"/>
  <c r="BJ14" i="1"/>
  <c r="BR14" i="1"/>
  <c r="BW14" i="1"/>
  <c r="BX14" i="1" s="1"/>
  <c r="BF14" i="1"/>
  <c r="DN261" i="1"/>
  <c r="DN254" i="1"/>
  <c r="DN260" i="1"/>
  <c r="DN255" i="1"/>
  <c r="DN257" i="1"/>
  <c r="DN277" i="1"/>
  <c r="DN256" i="1"/>
  <c r="DN264" i="1"/>
  <c r="DN263" i="1"/>
  <c r="DN262" i="1"/>
  <c r="DN259" i="1"/>
  <c r="DN258" i="1"/>
  <c r="BB13" i="1"/>
  <c r="CJ14" i="1"/>
  <c r="AJ15" i="1"/>
  <c r="BR15" i="1" s="1"/>
  <c r="AM17" i="1"/>
  <c r="CK16" i="1"/>
  <c r="AP13" i="1"/>
  <c r="BJ13" i="1" s="1"/>
  <c r="CL12" i="1"/>
  <c r="AO15" i="1"/>
  <c r="DK221" i="1"/>
  <c r="DI221" i="1" s="1"/>
  <c r="DK241" i="1"/>
  <c r="DK253" i="1" s="1"/>
  <c r="DK228" i="1"/>
  <c r="DK227" i="1"/>
  <c r="DI227" i="1" s="1"/>
  <c r="DK220" i="1"/>
  <c r="DI220" i="1" s="1"/>
  <c r="DK226" i="1"/>
  <c r="DI226" i="1" s="1"/>
  <c r="DK218" i="1"/>
  <c r="DI218" i="1" s="1"/>
  <c r="DK225" i="1"/>
  <c r="DI225" i="1" s="1"/>
  <c r="DK219" i="1"/>
  <c r="DI219" i="1" s="1"/>
  <c r="DK224" i="1"/>
  <c r="DI224" i="1" s="1"/>
  <c r="DK223" i="1"/>
  <c r="DI223" i="1" s="1"/>
  <c r="DK222" i="1"/>
  <c r="DI222" i="1" s="1"/>
  <c r="DI229" i="1"/>
  <c r="BB12" i="1"/>
  <c r="DM12" i="1"/>
  <c r="AW13" i="1"/>
  <c r="CC80" i="1" l="1"/>
  <c r="AQ81" i="1"/>
  <c r="BZ14" i="1"/>
  <c r="BW15" i="1"/>
  <c r="BX15" i="1" s="1"/>
  <c r="BZ15" i="1" s="1"/>
  <c r="AM18" i="1"/>
  <c r="BU18" i="1" s="1"/>
  <c r="BU17" i="1"/>
  <c r="DN273" i="1"/>
  <c r="DN272" i="1"/>
  <c r="DN267" i="1"/>
  <c r="DN266" i="1"/>
  <c r="DN270" i="1"/>
  <c r="DN269" i="1"/>
  <c r="DN289" i="1"/>
  <c r="DN276" i="1"/>
  <c r="DN275" i="1"/>
  <c r="DN268" i="1"/>
  <c r="DN274" i="1"/>
  <c r="DN271" i="1"/>
  <c r="DI253" i="1"/>
  <c r="DK252" i="1"/>
  <c r="DK251" i="1"/>
  <c r="DI251" i="1" s="1"/>
  <c r="DK248" i="1"/>
  <c r="DI248" i="1" s="1"/>
  <c r="DK242" i="1"/>
  <c r="DI242" i="1" s="1"/>
  <c r="DK265" i="1"/>
  <c r="DK245" i="1"/>
  <c r="DI245" i="1" s="1"/>
  <c r="DK243" i="1"/>
  <c r="DI243" i="1" s="1"/>
  <c r="DK250" i="1"/>
  <c r="DI250" i="1" s="1"/>
  <c r="DK249" i="1"/>
  <c r="DI249" i="1" s="1"/>
  <c r="DK247" i="1"/>
  <c r="DI247" i="1" s="1"/>
  <c r="DK246" i="1"/>
  <c r="DI246" i="1" s="1"/>
  <c r="DK244" i="1"/>
  <c r="DI244" i="1" s="1"/>
  <c r="AJ16" i="1"/>
  <c r="BR16" i="1" s="1"/>
  <c r="CJ15" i="1"/>
  <c r="CK17" i="1"/>
  <c r="AO16" i="1"/>
  <c r="CL13" i="1"/>
  <c r="DA2" i="1" s="1"/>
  <c r="R8" i="18" s="1"/>
  <c r="DK240" i="1"/>
  <c r="DK232" i="1"/>
  <c r="DI232" i="1" s="1"/>
  <c r="DK239" i="1"/>
  <c r="DI239" i="1" s="1"/>
  <c r="DK238" i="1"/>
  <c r="DI238" i="1" s="1"/>
  <c r="DK230" i="1"/>
  <c r="DI230" i="1" s="1"/>
  <c r="DK237" i="1"/>
  <c r="DI237" i="1" s="1"/>
  <c r="DK231" i="1"/>
  <c r="DI231" i="1" s="1"/>
  <c r="DK236" i="1"/>
  <c r="DI236" i="1" s="1"/>
  <c r="DK235" i="1"/>
  <c r="DI235" i="1" s="1"/>
  <c r="DK234" i="1"/>
  <c r="DI234" i="1" s="1"/>
  <c r="DK233" i="1"/>
  <c r="DI233" i="1" s="1"/>
  <c r="DI241" i="1"/>
  <c r="CI13" i="1"/>
  <c r="T2" i="1"/>
  <c r="AY14" i="1"/>
  <c r="BD14" i="1" s="1"/>
  <c r="DM13" i="1"/>
  <c r="AW14" i="1"/>
  <c r="CC81" i="1" l="1"/>
  <c r="CE81" i="1" s="1"/>
  <c r="CF81" i="1" s="1"/>
  <c r="AQ82" i="1"/>
  <c r="CE80" i="1"/>
  <c r="CF80" i="1" s="1"/>
  <c r="CA17" i="1"/>
  <c r="CF17" i="1" s="1"/>
  <c r="CH17" i="1" s="1"/>
  <c r="CA18" i="1"/>
  <c r="CF18" i="1" s="1"/>
  <c r="BW16" i="1"/>
  <c r="BX16" i="1" s="1"/>
  <c r="BZ16" i="1" s="1"/>
  <c r="BG14" i="1"/>
  <c r="DN285" i="1"/>
  <c r="DN278" i="1"/>
  <c r="DN284" i="1"/>
  <c r="DN279" i="1"/>
  <c r="DN283" i="1"/>
  <c r="DN282" i="1"/>
  <c r="DN281" i="1"/>
  <c r="DN288" i="1"/>
  <c r="DN287" i="1"/>
  <c r="DN280" i="1"/>
  <c r="DN301" i="1"/>
  <c r="DN286" i="1"/>
  <c r="AJ17" i="1"/>
  <c r="BR17" i="1" s="1"/>
  <c r="CJ16" i="1"/>
  <c r="DI265" i="1"/>
  <c r="DK262" i="1"/>
  <c r="DI262" i="1" s="1"/>
  <c r="DK261" i="1"/>
  <c r="DI261" i="1" s="1"/>
  <c r="DK258" i="1"/>
  <c r="DI258" i="1" s="1"/>
  <c r="DK277" i="1"/>
  <c r="DK256" i="1"/>
  <c r="DI256" i="1" s="1"/>
  <c r="DK255" i="1"/>
  <c r="DI255" i="1" s="1"/>
  <c r="DK260" i="1"/>
  <c r="DI260" i="1" s="1"/>
  <c r="DK259" i="1"/>
  <c r="DI259" i="1" s="1"/>
  <c r="DK257" i="1"/>
  <c r="DI257" i="1" s="1"/>
  <c r="DK254" i="1"/>
  <c r="DI254" i="1" s="1"/>
  <c r="DK264" i="1"/>
  <c r="DK263" i="1"/>
  <c r="DI263" i="1" s="1"/>
  <c r="CK18" i="1"/>
  <c r="AO17" i="1"/>
  <c r="AP15" i="1"/>
  <c r="BJ15" i="1" s="1"/>
  <c r="CL14" i="1"/>
  <c r="BB14" i="1"/>
  <c r="DM14" i="1"/>
  <c r="CI14" i="1"/>
  <c r="AW15" i="1"/>
  <c r="CI15" i="1"/>
  <c r="AY16" i="1"/>
  <c r="BD16" i="1" s="1"/>
  <c r="AY15" i="1"/>
  <c r="BD15" i="1" s="1"/>
  <c r="CC82" i="1" l="1"/>
  <c r="CE82" i="1" s="1"/>
  <c r="CF82" i="1" s="1"/>
  <c r="AQ83" i="1"/>
  <c r="CH18" i="1"/>
  <c r="CH19" i="1" s="1"/>
  <c r="CH20" i="1" s="1"/>
  <c r="BW17" i="1"/>
  <c r="BX17" i="1" s="1"/>
  <c r="BZ17" i="1" s="1"/>
  <c r="BF15" i="1"/>
  <c r="DN298" i="1"/>
  <c r="DN290" i="1"/>
  <c r="DN297" i="1"/>
  <c r="DN291" i="1"/>
  <c r="DN296" i="1"/>
  <c r="DN295" i="1"/>
  <c r="DN294" i="1"/>
  <c r="DN293" i="1"/>
  <c r="DN292" i="1"/>
  <c r="DN300" i="1"/>
  <c r="DN299" i="1"/>
  <c r="AJ18" i="1"/>
  <c r="BR18" i="1" s="1"/>
  <c r="CJ17" i="1"/>
  <c r="BB15" i="1"/>
  <c r="DI277" i="1"/>
  <c r="DK274" i="1"/>
  <c r="DI274" i="1" s="1"/>
  <c r="DK273" i="1"/>
  <c r="DI273" i="1" s="1"/>
  <c r="DK271" i="1"/>
  <c r="DI271" i="1" s="1"/>
  <c r="DK270" i="1"/>
  <c r="DI270" i="1" s="1"/>
  <c r="DK266" i="1"/>
  <c r="DI266" i="1" s="1"/>
  <c r="DK269" i="1"/>
  <c r="DI269" i="1" s="1"/>
  <c r="DK289" i="1"/>
  <c r="DK275" i="1"/>
  <c r="DI275" i="1" s="1"/>
  <c r="DK268" i="1"/>
  <c r="DI268" i="1" s="1"/>
  <c r="DK267" i="1"/>
  <c r="DI267" i="1" s="1"/>
  <c r="DK272" i="1"/>
  <c r="DI272" i="1" s="1"/>
  <c r="DK276" i="1"/>
  <c r="CK19" i="1"/>
  <c r="AP16" i="1"/>
  <c r="BJ16" i="1" s="1"/>
  <c r="CL15" i="1"/>
  <c r="AO18" i="1"/>
  <c r="BB16" i="1"/>
  <c r="DM15" i="1"/>
  <c r="AW16" i="1"/>
  <c r="CI16" i="1"/>
  <c r="AY17" i="1"/>
  <c r="BD17" i="1" s="1"/>
  <c r="CC83" i="1" l="1"/>
  <c r="CE83" i="1" s="1"/>
  <c r="CF83" i="1" s="1"/>
  <c r="AQ84" i="1"/>
  <c r="BW18" i="1"/>
  <c r="BX18" i="1" s="1"/>
  <c r="BZ18" i="1" s="1"/>
  <c r="AY18" i="1"/>
  <c r="BF16" i="1"/>
  <c r="BG15" i="1"/>
  <c r="AJ19" i="1"/>
  <c r="BR19" i="1" s="1"/>
  <c r="CJ18" i="1"/>
  <c r="DI289" i="1"/>
  <c r="DK301" i="1"/>
  <c r="DK286" i="1"/>
  <c r="DI286" i="1" s="1"/>
  <c r="DK285" i="1"/>
  <c r="DI285" i="1" s="1"/>
  <c r="DK284" i="1"/>
  <c r="DI284" i="1" s="1"/>
  <c r="DK279" i="1"/>
  <c r="DI279" i="1" s="1"/>
  <c r="DK283" i="1"/>
  <c r="DI283" i="1" s="1"/>
  <c r="DK278" i="1"/>
  <c r="DI278" i="1" s="1"/>
  <c r="DK282" i="1"/>
  <c r="DI282" i="1" s="1"/>
  <c r="DK281" i="1"/>
  <c r="DI281" i="1" s="1"/>
  <c r="DK287" i="1"/>
  <c r="DI287" i="1" s="1"/>
  <c r="DK280" i="1"/>
  <c r="DI280" i="1" s="1"/>
  <c r="DK288" i="1"/>
  <c r="AM21" i="1"/>
  <c r="BU21" i="1" s="1"/>
  <c r="CK20" i="1"/>
  <c r="AO19" i="1"/>
  <c r="AP17" i="1"/>
  <c r="BJ17" i="1" s="1"/>
  <c r="CL16" i="1"/>
  <c r="BB17" i="1"/>
  <c r="DM16" i="1"/>
  <c r="AW17" i="1"/>
  <c r="BD18" i="1"/>
  <c r="CC84" i="1" l="1"/>
  <c r="CE84" i="1" s="1"/>
  <c r="CF84" i="1" s="1"/>
  <c r="AQ85" i="1"/>
  <c r="CA21" i="1"/>
  <c r="CF21" i="1" s="1"/>
  <c r="CH21" i="1" s="1"/>
  <c r="BW19" i="1"/>
  <c r="BX19" i="1" s="1"/>
  <c r="BZ19" i="1" s="1"/>
  <c r="BG16" i="1"/>
  <c r="BF17" i="1"/>
  <c r="DI301" i="1"/>
  <c r="DK299" i="1"/>
  <c r="DI299" i="1" s="1"/>
  <c r="DK298" i="1"/>
  <c r="DI298" i="1" s="1"/>
  <c r="DK297" i="1"/>
  <c r="DI297" i="1" s="1"/>
  <c r="DK296" i="1"/>
  <c r="DI296" i="1" s="1"/>
  <c r="DK291" i="1"/>
  <c r="DI291" i="1" s="1"/>
  <c r="DK290" i="1"/>
  <c r="DI290" i="1" s="1"/>
  <c r="DK295" i="1"/>
  <c r="DI295" i="1" s="1"/>
  <c r="DK294" i="1"/>
  <c r="DI294" i="1" s="1"/>
  <c r="DK293" i="1"/>
  <c r="DI293" i="1" s="1"/>
  <c r="DK292" i="1"/>
  <c r="DI292" i="1" s="1"/>
  <c r="DK300" i="1"/>
  <c r="BB18" i="1"/>
  <c r="AJ20" i="1"/>
  <c r="BR20" i="1" s="1"/>
  <c r="CJ19" i="1"/>
  <c r="AM22" i="1"/>
  <c r="BU22" i="1" s="1"/>
  <c r="CA22" i="1" s="1"/>
  <c r="CF22" i="1" s="1"/>
  <c r="CK21" i="1"/>
  <c r="AP18" i="1"/>
  <c r="BJ18" i="1" s="1"/>
  <c r="CL17" i="1"/>
  <c r="AO20" i="1"/>
  <c r="CI17" i="1"/>
  <c r="DM17" i="1"/>
  <c r="AW18" i="1"/>
  <c r="CI18" i="1"/>
  <c r="AY19" i="1"/>
  <c r="BD19" i="1" s="1"/>
  <c r="CC85" i="1" l="1"/>
  <c r="AQ86" i="1"/>
  <c r="CH22" i="1"/>
  <c r="BW20" i="1"/>
  <c r="BX20" i="1" s="1"/>
  <c r="BZ20" i="1" s="1"/>
  <c r="BF18" i="1"/>
  <c r="BG17" i="1"/>
  <c r="AJ21" i="1"/>
  <c r="BR21" i="1" s="1"/>
  <c r="CJ20" i="1"/>
  <c r="AM23" i="1"/>
  <c r="CK22" i="1"/>
  <c r="AO21" i="1"/>
  <c r="AP19" i="1"/>
  <c r="BJ19" i="1" s="1"/>
  <c r="CL18" i="1"/>
  <c r="BB19" i="1"/>
  <c r="DM18" i="1"/>
  <c r="AW19" i="1"/>
  <c r="AY20" i="1"/>
  <c r="BD20" i="1" s="1"/>
  <c r="CC86" i="1" l="1"/>
  <c r="AQ87" i="1"/>
  <c r="CE85" i="1"/>
  <c r="CF85" i="1" s="1"/>
  <c r="CD74" i="1"/>
  <c r="BU23" i="1"/>
  <c r="BW21" i="1"/>
  <c r="BX21" i="1" s="1"/>
  <c r="BZ21" i="1" s="1"/>
  <c r="BG18" i="1"/>
  <c r="BF19" i="1"/>
  <c r="AJ22" i="1"/>
  <c r="BR22" i="1" s="1"/>
  <c r="CJ21" i="1"/>
  <c r="AM24" i="1"/>
  <c r="BU24" i="1" s="1"/>
  <c r="CK23" i="1"/>
  <c r="AP20" i="1"/>
  <c r="BJ20" i="1" s="1"/>
  <c r="CL19" i="1"/>
  <c r="AO22" i="1"/>
  <c r="BB20" i="1"/>
  <c r="DM19" i="1"/>
  <c r="CI19" i="1"/>
  <c r="AW20" i="1"/>
  <c r="AY21" i="1"/>
  <c r="BD21" i="1" s="1"/>
  <c r="BE21" i="1" s="1"/>
  <c r="CC87" i="1" l="1"/>
  <c r="AQ88" i="1"/>
  <c r="CE86" i="1"/>
  <c r="CF86" i="1" s="1"/>
  <c r="CA24" i="1"/>
  <c r="CF24" i="1" s="1"/>
  <c r="CA23" i="1"/>
  <c r="CF23" i="1" s="1"/>
  <c r="CH23" i="1" s="1"/>
  <c r="BW22" i="1"/>
  <c r="BX22" i="1" s="1"/>
  <c r="BZ22" i="1" s="1"/>
  <c r="BG19" i="1"/>
  <c r="BF20" i="1"/>
  <c r="AJ23" i="1"/>
  <c r="BR23" i="1" s="1"/>
  <c r="CJ22" i="1"/>
  <c r="AM25" i="1"/>
  <c r="BU25" i="1" s="1"/>
  <c r="CK24" i="1"/>
  <c r="AO23" i="1"/>
  <c r="AP21" i="1"/>
  <c r="BJ21" i="1" s="1"/>
  <c r="CL20" i="1"/>
  <c r="BB21" i="1"/>
  <c r="DM20" i="1"/>
  <c r="CI20" i="1"/>
  <c r="AW21" i="1"/>
  <c r="AW22" i="1"/>
  <c r="CH24" i="1" l="1"/>
  <c r="CC88" i="1"/>
  <c r="CE88" i="1" s="1"/>
  <c r="CF88" i="1" s="1"/>
  <c r="AQ89" i="1"/>
  <c r="CE87" i="1"/>
  <c r="CF87" i="1" s="1"/>
  <c r="CG14" i="1"/>
  <c r="CA25" i="1"/>
  <c r="CB14" i="1"/>
  <c r="CH25" i="1"/>
  <c r="BV14" i="1"/>
  <c r="BW23" i="1"/>
  <c r="BX23" i="1" s="1"/>
  <c r="BZ23" i="1" s="1"/>
  <c r="BG20" i="1"/>
  <c r="BF21" i="1"/>
  <c r="AM26" i="1"/>
  <c r="BU26" i="1" s="1"/>
  <c r="CA26" i="1" s="1"/>
  <c r="AJ24" i="1"/>
  <c r="BR24" i="1" s="1"/>
  <c r="CJ23" i="1"/>
  <c r="CK25" i="1"/>
  <c r="AP22" i="1"/>
  <c r="BJ22" i="1" s="1"/>
  <c r="CL21" i="1"/>
  <c r="AO24" i="1"/>
  <c r="DM21" i="1"/>
  <c r="CI21" i="1"/>
  <c r="BI21" i="1"/>
  <c r="DF21" i="1"/>
  <c r="AY22" i="1"/>
  <c r="BD22" i="1" s="1"/>
  <c r="BE22" i="1" s="1"/>
  <c r="AW23" i="1"/>
  <c r="CC89" i="1" l="1"/>
  <c r="CE89" i="1" s="1"/>
  <c r="CF89" i="1" s="1"/>
  <c r="AQ90" i="1"/>
  <c r="CH26" i="1"/>
  <c r="BW24" i="1"/>
  <c r="BX24" i="1" s="1"/>
  <c r="BZ24" i="1" s="1"/>
  <c r="BG21" i="1"/>
  <c r="BH21" i="1"/>
  <c r="BF22" i="1"/>
  <c r="CZ14" i="1"/>
  <c r="Q9" i="18" s="1"/>
  <c r="AJ25" i="1"/>
  <c r="BR25" i="1" s="1"/>
  <c r="CJ24" i="1"/>
  <c r="CK26" i="1"/>
  <c r="AM27" i="1"/>
  <c r="BU27" i="1" s="1"/>
  <c r="AO25" i="1"/>
  <c r="AP23" i="1"/>
  <c r="BJ23" i="1" s="1"/>
  <c r="CL22" i="1"/>
  <c r="BI22" i="1"/>
  <c r="BB22" i="1"/>
  <c r="DM22" i="1"/>
  <c r="CI22" i="1"/>
  <c r="AY23" i="1"/>
  <c r="BD23" i="1" s="1"/>
  <c r="BE23" i="1" s="1"/>
  <c r="CC90" i="1" l="1"/>
  <c r="CE90" i="1" s="1"/>
  <c r="CF90" i="1" s="1"/>
  <c r="AQ91" i="1"/>
  <c r="CA27" i="1"/>
  <c r="CH27" i="1"/>
  <c r="BW25" i="1"/>
  <c r="BX25" i="1" s="1"/>
  <c r="BF23" i="1"/>
  <c r="BG22" i="1"/>
  <c r="BH22" i="1"/>
  <c r="AJ26" i="1"/>
  <c r="CJ25" i="1"/>
  <c r="AM28" i="1"/>
  <c r="BU28" i="1" s="1"/>
  <c r="CK27" i="1"/>
  <c r="AP24" i="1"/>
  <c r="BJ24" i="1" s="1"/>
  <c r="CL23" i="1"/>
  <c r="AO26" i="1"/>
  <c r="DF23" i="1"/>
  <c r="BB23" i="1"/>
  <c r="AY25" i="1"/>
  <c r="DM23" i="1"/>
  <c r="CI23" i="1"/>
  <c r="AW25" i="1"/>
  <c r="AW24" i="1"/>
  <c r="DF22" i="1"/>
  <c r="AY24" i="1"/>
  <c r="BB25" i="1" l="1"/>
  <c r="BD25" i="1"/>
  <c r="BE25" i="1" s="1"/>
  <c r="DF25" i="1" s="1"/>
  <c r="BB24" i="1"/>
  <c r="BD24" i="1"/>
  <c r="BE24" i="1" s="1"/>
  <c r="CC91" i="1"/>
  <c r="CE91" i="1" s="1"/>
  <c r="CF91" i="1" s="1"/>
  <c r="AQ92" i="1"/>
  <c r="CH28" i="1"/>
  <c r="CA28" i="1"/>
  <c r="BW26" i="1"/>
  <c r="BX26" i="1" s="1"/>
  <c r="BR26" i="1"/>
  <c r="BZ25" i="1"/>
  <c r="BZ26" i="1" s="1"/>
  <c r="BY14" i="1"/>
  <c r="BF24" i="1"/>
  <c r="BG23" i="1"/>
  <c r="BH23" i="1"/>
  <c r="CI26" i="1"/>
  <c r="CJ26" i="1"/>
  <c r="AJ27" i="1"/>
  <c r="AM29" i="1"/>
  <c r="BU29" i="1" s="1"/>
  <c r="CK28" i="1"/>
  <c r="AO27" i="1"/>
  <c r="AP25" i="1"/>
  <c r="BJ25" i="1" s="1"/>
  <c r="CL24" i="1"/>
  <c r="BI23" i="1"/>
  <c r="AZ14" i="1"/>
  <c r="CI25" i="1"/>
  <c r="T14" i="1"/>
  <c r="AX14" i="1"/>
  <c r="DM24" i="1"/>
  <c r="DM25" i="1" s="1"/>
  <c r="CI24" i="1"/>
  <c r="BC14" i="1"/>
  <c r="CC92" i="1" l="1"/>
  <c r="CE92" i="1" s="1"/>
  <c r="CF92" i="1" s="1"/>
  <c r="AQ93" i="1"/>
  <c r="CH29" i="1"/>
  <c r="CA29" i="1"/>
  <c r="BW27" i="1"/>
  <c r="BX27" i="1" s="1"/>
  <c r="BZ27" i="1" s="1"/>
  <c r="BR27" i="1"/>
  <c r="BF25" i="1"/>
  <c r="BH24" i="1"/>
  <c r="BG24" i="1"/>
  <c r="CJ27" i="1"/>
  <c r="AJ28" i="1"/>
  <c r="CI27" i="1"/>
  <c r="AM30" i="1"/>
  <c r="BU30" i="1" s="1"/>
  <c r="CK29" i="1"/>
  <c r="AP26" i="1"/>
  <c r="BJ26" i="1" s="1"/>
  <c r="CL25" i="1"/>
  <c r="AO28" i="1"/>
  <c r="AY5" i="1"/>
  <c r="BD5" i="1" s="1"/>
  <c r="AY4" i="1"/>
  <c r="BD4" i="1" s="1"/>
  <c r="BE4" i="1" s="1"/>
  <c r="AG4" i="1"/>
  <c r="AW4" i="1"/>
  <c r="AY26" i="1"/>
  <c r="BD26" i="1" s="1"/>
  <c r="BE26" i="1" s="1"/>
  <c r="CM15" i="1"/>
  <c r="BI25" i="1"/>
  <c r="AW26" i="1"/>
  <c r="AW27" i="1"/>
  <c r="CP11" i="1"/>
  <c r="CM11" i="1"/>
  <c r="CP8" i="1"/>
  <c r="CM8" i="1"/>
  <c r="CP12" i="1"/>
  <c r="CM12" i="1"/>
  <c r="CN13" i="1"/>
  <c r="CM13" i="1"/>
  <c r="CP13" i="1"/>
  <c r="CP7" i="1"/>
  <c r="CM7" i="1"/>
  <c r="CP6" i="1"/>
  <c r="CM6" i="1"/>
  <c r="DP14" i="1"/>
  <c r="CM14" i="1"/>
  <c r="CP14" i="1"/>
  <c r="CQ5" i="1"/>
  <c r="CP5" i="1"/>
  <c r="CM5" i="1"/>
  <c r="CP10" i="1"/>
  <c r="CM10" i="1"/>
  <c r="CP4" i="1"/>
  <c r="CM4" i="1"/>
  <c r="CM9" i="1"/>
  <c r="CP9" i="1"/>
  <c r="DF24" i="1"/>
  <c r="BI24" i="1"/>
  <c r="DP2" i="1"/>
  <c r="DP3" i="1" s="1"/>
  <c r="DP4" i="1" s="1"/>
  <c r="DP5" i="1" s="1"/>
  <c r="DP6" i="1" s="1"/>
  <c r="DP7" i="1" s="1"/>
  <c r="DP8" i="1" s="1"/>
  <c r="DP9" i="1" s="1"/>
  <c r="DP10" i="1" s="1"/>
  <c r="DP11" i="1" s="1"/>
  <c r="DP12" i="1" s="1"/>
  <c r="DP13" i="1" s="1"/>
  <c r="DJ2" i="1"/>
  <c r="CC93" i="1" l="1"/>
  <c r="CE93" i="1" s="1"/>
  <c r="CF93" i="1" s="1"/>
  <c r="AQ94" i="1"/>
  <c r="CH30" i="1"/>
  <c r="CH31" i="1" s="1"/>
  <c r="CH32" i="1" s="1"/>
  <c r="CA30" i="1"/>
  <c r="BW28" i="1"/>
  <c r="BX28" i="1" s="1"/>
  <c r="BZ28" i="1" s="1"/>
  <c r="BR28" i="1"/>
  <c r="Y5" i="1"/>
  <c r="Y6" i="1"/>
  <c r="BF26" i="1"/>
  <c r="BG25" i="1"/>
  <c r="BH25" i="1"/>
  <c r="DA14" i="1"/>
  <c r="R9" i="18" s="1"/>
  <c r="BF4" i="1"/>
  <c r="BG4" i="1" s="1"/>
  <c r="Y4" i="1"/>
  <c r="BB5" i="1"/>
  <c r="CJ28" i="1"/>
  <c r="AJ29" i="1"/>
  <c r="CI28" i="1"/>
  <c r="CK30" i="1"/>
  <c r="AO29" i="1"/>
  <c r="AP27" i="1"/>
  <c r="BJ27" i="1" s="1"/>
  <c r="CL26" i="1"/>
  <c r="AG5" i="1"/>
  <c r="AH2" i="1" s="1"/>
  <c r="AW5" i="1"/>
  <c r="BB26" i="1"/>
  <c r="BA4" i="1"/>
  <c r="BA5" i="1" s="1"/>
  <c r="BA6" i="1" s="1"/>
  <c r="BA7" i="1" s="1"/>
  <c r="BA8" i="1" s="1"/>
  <c r="BA9" i="1" s="1"/>
  <c r="BA10" i="1" s="1"/>
  <c r="BA11" i="1" s="1"/>
  <c r="BA12" i="1" s="1"/>
  <c r="BA13" i="1" s="1"/>
  <c r="BA14" i="1" s="1"/>
  <c r="BA15" i="1" s="1"/>
  <c r="BA16" i="1" s="1"/>
  <c r="BA17" i="1" s="1"/>
  <c r="BA18" i="1" s="1"/>
  <c r="BA19" i="1" s="1"/>
  <c r="BA20" i="1" s="1"/>
  <c r="BA21" i="1" s="1"/>
  <c r="BA22" i="1" s="1"/>
  <c r="BA23" i="1" s="1"/>
  <c r="BA24" i="1" s="1"/>
  <c r="BA25" i="1" s="1"/>
  <c r="BA26" i="1" s="1"/>
  <c r="BB4" i="1"/>
  <c r="CQ15" i="1"/>
  <c r="CQ13" i="1"/>
  <c r="CP15" i="1"/>
  <c r="BF7" i="1"/>
  <c r="BG7" i="1" s="1"/>
  <c r="BF10" i="1"/>
  <c r="BG10" i="1" s="1"/>
  <c r="BF13" i="1"/>
  <c r="BG13" i="1" s="1"/>
  <c r="BF11" i="1"/>
  <c r="BG11" i="1" s="1"/>
  <c r="BF12" i="1"/>
  <c r="BG12" i="1" s="1"/>
  <c r="BF6" i="1"/>
  <c r="BG6" i="1" s="1"/>
  <c r="BF9" i="1"/>
  <c r="BG9" i="1" s="1"/>
  <c r="BF8" i="1"/>
  <c r="BG8" i="1" s="1"/>
  <c r="AY27" i="1"/>
  <c r="BD27" i="1" s="1"/>
  <c r="BE27" i="1" s="1"/>
  <c r="DP15" i="1"/>
  <c r="AW28" i="1"/>
  <c r="DJ14" i="1"/>
  <c r="DH14" i="1"/>
  <c r="CN2" i="1"/>
  <c r="CQ2" i="1"/>
  <c r="CN5" i="1"/>
  <c r="CQ4" i="1"/>
  <c r="CN4" i="1"/>
  <c r="CQ12" i="1"/>
  <c r="CN12" i="1"/>
  <c r="CQ6" i="1"/>
  <c r="CN6" i="1"/>
  <c r="CN7" i="1"/>
  <c r="CQ7" i="1"/>
  <c r="CQ9" i="1"/>
  <c r="CN9" i="1"/>
  <c r="CQ10" i="1"/>
  <c r="CN10" i="1"/>
  <c r="CN14" i="1"/>
  <c r="CQ14" i="1"/>
  <c r="CQ11" i="1"/>
  <c r="CN11" i="1"/>
  <c r="CN8" i="1"/>
  <c r="CQ8" i="1"/>
  <c r="CN3" i="1"/>
  <c r="CQ3" i="1"/>
  <c r="CV3" i="1"/>
  <c r="CC94" i="1" l="1"/>
  <c r="CE94" i="1" s="1"/>
  <c r="CF94" i="1" s="1"/>
  <c r="AQ95" i="1"/>
  <c r="BW29" i="1"/>
  <c r="BX29" i="1" s="1"/>
  <c r="BZ29" i="1" s="1"/>
  <c r="BR29" i="1"/>
  <c r="BF27" i="1"/>
  <c r="BG26" i="1"/>
  <c r="CJ29" i="1"/>
  <c r="AJ30" i="1"/>
  <c r="CI29" i="1"/>
  <c r="CK31" i="1"/>
  <c r="AP28" i="1"/>
  <c r="BJ28" i="1" s="1"/>
  <c r="CL27" i="1"/>
  <c r="AO30" i="1"/>
  <c r="CY2" i="1"/>
  <c r="P8" i="18" s="1"/>
  <c r="BB27" i="1"/>
  <c r="BA27" i="1"/>
  <c r="CN15" i="1"/>
  <c r="DP16" i="1"/>
  <c r="DJ15" i="1"/>
  <c r="DH15" i="1"/>
  <c r="CW2" i="1"/>
  <c r="C8" i="18" s="1"/>
  <c r="H8" i="18"/>
  <c r="AY28" i="1"/>
  <c r="BD28" i="1" s="1"/>
  <c r="BE28" i="1" s="1"/>
  <c r="AW29" i="1"/>
  <c r="AY2" i="1"/>
  <c r="BD2" i="1" s="1"/>
  <c r="BE2" i="1" s="1"/>
  <c r="CC95" i="1" l="1"/>
  <c r="CE95" i="1" s="1"/>
  <c r="CF95" i="1" s="1"/>
  <c r="AQ96" i="1"/>
  <c r="BW30" i="1"/>
  <c r="BX30" i="1" s="1"/>
  <c r="BZ30" i="1" s="1"/>
  <c r="BR30" i="1"/>
  <c r="BI2" i="1"/>
  <c r="BG2" i="1"/>
  <c r="BF28" i="1"/>
  <c r="BG27" i="1"/>
  <c r="BB2" i="1"/>
  <c r="CJ30" i="1"/>
  <c r="AJ31" i="1"/>
  <c r="CI30" i="1"/>
  <c r="AM33" i="1"/>
  <c r="BU33" i="1" s="1"/>
  <c r="CA33" i="1" s="1"/>
  <c r="CK32" i="1"/>
  <c r="AO31" i="1"/>
  <c r="AP29" i="1"/>
  <c r="BJ29" i="1" s="1"/>
  <c r="CL28" i="1"/>
  <c r="CQ16" i="1"/>
  <c r="CM16" i="1"/>
  <c r="BI28" i="1"/>
  <c r="BB28" i="1"/>
  <c r="BA28" i="1"/>
  <c r="CP16" i="1"/>
  <c r="CO2" i="1"/>
  <c r="CR2" i="1"/>
  <c r="M8" i="18"/>
  <c r="I8" i="18"/>
  <c r="AY29" i="1"/>
  <c r="AW30" i="1"/>
  <c r="DH16" i="1"/>
  <c r="DP17" i="1"/>
  <c r="CP17" i="1"/>
  <c r="CM17" i="1"/>
  <c r="DJ16" i="1"/>
  <c r="BB29" i="1" l="1"/>
  <c r="BD29" i="1"/>
  <c r="BE29" i="1" s="1"/>
  <c r="DF29" i="1" s="1"/>
  <c r="CC96" i="1"/>
  <c r="CE96" i="1" s="1"/>
  <c r="CF96" i="1" s="1"/>
  <c r="AQ97" i="1"/>
  <c r="BW31" i="1"/>
  <c r="BX31" i="1" s="1"/>
  <c r="BZ31" i="1" s="1"/>
  <c r="BR31" i="1"/>
  <c r="CH33" i="1"/>
  <c r="BG28" i="1"/>
  <c r="BH28" i="1"/>
  <c r="BF29" i="1"/>
  <c r="CJ31" i="1"/>
  <c r="AJ32" i="1"/>
  <c r="CI31" i="1"/>
  <c r="AM34" i="1"/>
  <c r="BU34" i="1" s="1"/>
  <c r="CK33" i="1"/>
  <c r="AP30" i="1"/>
  <c r="BJ30" i="1" s="1"/>
  <c r="CL29" i="1"/>
  <c r="AO32" i="1"/>
  <c r="E8" i="18"/>
  <c r="CN16" i="1"/>
  <c r="D8" i="18"/>
  <c r="DF28" i="1"/>
  <c r="BA29" i="1"/>
  <c r="AY30" i="1"/>
  <c r="BB30" i="1" s="1"/>
  <c r="AW31" i="1"/>
  <c r="DH17" i="1"/>
  <c r="DP18" i="1"/>
  <c r="CM18" i="1"/>
  <c r="CP18" i="1"/>
  <c r="BK2" i="1"/>
  <c r="BO2" i="1" s="1"/>
  <c r="DF2" i="1"/>
  <c r="BH2" i="1"/>
  <c r="CQ17" i="1"/>
  <c r="CN17" i="1"/>
  <c r="DJ17" i="1"/>
  <c r="CC97" i="1" l="1"/>
  <c r="AQ98" i="1"/>
  <c r="CA34" i="1"/>
  <c r="BW32" i="1"/>
  <c r="BX32" i="1" s="1"/>
  <c r="BZ32" i="1" s="1"/>
  <c r="BR32" i="1"/>
  <c r="CH34" i="1"/>
  <c r="BP2" i="1"/>
  <c r="BQ2" i="1" s="1"/>
  <c r="BH29" i="1"/>
  <c r="BG29" i="1"/>
  <c r="BF30" i="1"/>
  <c r="CJ32" i="1"/>
  <c r="CI32" i="1"/>
  <c r="AJ33" i="1"/>
  <c r="AM35" i="1"/>
  <c r="BU35" i="1" s="1"/>
  <c r="CK34" i="1"/>
  <c r="AO33" i="1"/>
  <c r="AP31" i="1"/>
  <c r="BJ31" i="1" s="1"/>
  <c r="CL30" i="1"/>
  <c r="BM2" i="1"/>
  <c r="BA30" i="1"/>
  <c r="BI29" i="1"/>
  <c r="AY31" i="1"/>
  <c r="AW32" i="1"/>
  <c r="DH18" i="1"/>
  <c r="DP19" i="1"/>
  <c r="CP19" i="1"/>
  <c r="CM19" i="1"/>
  <c r="CQ18" i="1"/>
  <c r="CN18" i="1"/>
  <c r="DJ18" i="1"/>
  <c r="CC98" i="1" l="1"/>
  <c r="AQ99" i="1"/>
  <c r="CE97" i="1"/>
  <c r="CF97" i="1" s="1"/>
  <c r="CD86" i="1"/>
  <c r="CA35" i="1"/>
  <c r="BW33" i="1"/>
  <c r="BX33" i="1" s="1"/>
  <c r="BZ33" i="1" s="1"/>
  <c r="BR33" i="1"/>
  <c r="CH35" i="1"/>
  <c r="I15" i="23"/>
  <c r="B15" i="23"/>
  <c r="B16" i="23"/>
  <c r="I16" i="23"/>
  <c r="BF31" i="1"/>
  <c r="BH30" i="1"/>
  <c r="BG30" i="1"/>
  <c r="CJ33" i="1"/>
  <c r="CI33" i="1"/>
  <c r="AJ34" i="1"/>
  <c r="AM36" i="1"/>
  <c r="BU36" i="1" s="1"/>
  <c r="CK35" i="1"/>
  <c r="AP32" i="1"/>
  <c r="BJ32" i="1" s="1"/>
  <c r="CL31" i="1"/>
  <c r="AO34" i="1"/>
  <c r="DF31" i="1"/>
  <c r="BB31" i="1"/>
  <c r="BA31" i="1"/>
  <c r="AW33" i="1"/>
  <c r="DF30" i="1"/>
  <c r="BI30" i="1"/>
  <c r="AY32" i="1"/>
  <c r="BB32" i="1" s="1"/>
  <c r="DP20" i="1"/>
  <c r="CM20" i="1"/>
  <c r="CP20" i="1"/>
  <c r="DH19" i="1"/>
  <c r="CQ19" i="1"/>
  <c r="CN19" i="1"/>
  <c r="DJ19" i="1"/>
  <c r="CC99" i="1" l="1"/>
  <c r="CE99" i="1" s="1"/>
  <c r="CF99" i="1" s="1"/>
  <c r="AQ100" i="1"/>
  <c r="CE98" i="1"/>
  <c r="CF98" i="1" s="1"/>
  <c r="CA36" i="1"/>
  <c r="BW34" i="1"/>
  <c r="BX34" i="1" s="1"/>
  <c r="BZ34" i="1" s="1"/>
  <c r="BR34" i="1"/>
  <c r="CH36" i="1"/>
  <c r="J15" i="23"/>
  <c r="K15" i="23" s="1"/>
  <c r="J16" i="23"/>
  <c r="L16" i="23" s="1"/>
  <c r="M16" i="23" s="1"/>
  <c r="BG31" i="1"/>
  <c r="BH31" i="1"/>
  <c r="BF32" i="1"/>
  <c r="CJ34" i="1"/>
  <c r="AJ35" i="1"/>
  <c r="CI34" i="1"/>
  <c r="AM37" i="1"/>
  <c r="BU37" i="1" s="1"/>
  <c r="CA37" i="1" s="1"/>
  <c r="CB26" i="1" s="1"/>
  <c r="CK36" i="1"/>
  <c r="AO35" i="1"/>
  <c r="AP33" i="1"/>
  <c r="BJ33" i="1" s="1"/>
  <c r="CL32" i="1"/>
  <c r="BI31" i="1"/>
  <c r="BA32" i="1"/>
  <c r="AY33" i="1"/>
  <c r="BB33" i="1" s="1"/>
  <c r="AW34" i="1"/>
  <c r="DH20" i="1"/>
  <c r="DP21" i="1"/>
  <c r="CM21" i="1"/>
  <c r="CP21" i="1"/>
  <c r="CQ20" i="1"/>
  <c r="CN20" i="1"/>
  <c r="DJ20" i="1"/>
  <c r="CC100" i="1" l="1"/>
  <c r="AQ101" i="1"/>
  <c r="BW35" i="1"/>
  <c r="BX35" i="1" s="1"/>
  <c r="BZ35" i="1" s="1"/>
  <c r="BR35" i="1"/>
  <c r="CG26" i="1"/>
  <c r="BV26" i="1"/>
  <c r="L15" i="23"/>
  <c r="M15" i="23" s="1"/>
  <c r="K16" i="23"/>
  <c r="BG32" i="1"/>
  <c r="BH32" i="1"/>
  <c r="BF33" i="1"/>
  <c r="CJ35" i="1"/>
  <c r="CI35" i="1"/>
  <c r="AJ36" i="1"/>
  <c r="AM38" i="1"/>
  <c r="BU38" i="1" s="1"/>
  <c r="CK37" i="1"/>
  <c r="CZ26" i="1" s="1"/>
  <c r="Q10" i="18" s="1"/>
  <c r="AP34" i="1"/>
  <c r="BJ34" i="1" s="1"/>
  <c r="CL33" i="1"/>
  <c r="AO36" i="1"/>
  <c r="BA33" i="1"/>
  <c r="DF33" i="1"/>
  <c r="BK21" i="1"/>
  <c r="BO21" i="1" s="1"/>
  <c r="AW35" i="1"/>
  <c r="BI32" i="1"/>
  <c r="DF32" i="1"/>
  <c r="AY34" i="1"/>
  <c r="BB34" i="1" s="1"/>
  <c r="DH21" i="1"/>
  <c r="DP22" i="1"/>
  <c r="CM22" i="1"/>
  <c r="CP22" i="1"/>
  <c r="CQ21" i="1"/>
  <c r="CN21" i="1"/>
  <c r="DJ21" i="1"/>
  <c r="CC101" i="1" l="1"/>
  <c r="CE101" i="1" s="1"/>
  <c r="CF101" i="1" s="1"/>
  <c r="AQ102" i="1"/>
  <c r="CE100" i="1"/>
  <c r="CF100" i="1" s="1"/>
  <c r="CA38" i="1"/>
  <c r="CF38" i="1" s="1"/>
  <c r="BW36" i="1"/>
  <c r="BX36" i="1" s="1"/>
  <c r="BZ36" i="1" s="1"/>
  <c r="BR36" i="1"/>
  <c r="CH37" i="1"/>
  <c r="CH38" i="1" s="1"/>
  <c r="BF34" i="1"/>
  <c r="BH33" i="1"/>
  <c r="BG33" i="1"/>
  <c r="CJ36" i="1"/>
  <c r="CI36" i="1"/>
  <c r="AJ37" i="1"/>
  <c r="CK38" i="1"/>
  <c r="AM39" i="1"/>
  <c r="BU39" i="1" s="1"/>
  <c r="AO37" i="1"/>
  <c r="AP35" i="1"/>
  <c r="BJ35" i="1" s="1"/>
  <c r="CL34" i="1"/>
  <c r="BI33" i="1"/>
  <c r="BA34" i="1"/>
  <c r="BK22" i="1"/>
  <c r="BO22" i="1" s="1"/>
  <c r="AW36" i="1"/>
  <c r="AY35" i="1"/>
  <c r="BB35" i="1" s="1"/>
  <c r="DP23" i="1"/>
  <c r="CM23" i="1"/>
  <c r="CP23" i="1"/>
  <c r="DH22" i="1"/>
  <c r="CN22" i="1"/>
  <c r="CQ22" i="1"/>
  <c r="DJ22" i="1"/>
  <c r="CC102" i="1" l="1"/>
  <c r="AQ103" i="1"/>
  <c r="CA39" i="1"/>
  <c r="BW37" i="1"/>
  <c r="BX37" i="1" s="1"/>
  <c r="BR37" i="1"/>
  <c r="BZ37" i="1"/>
  <c r="BY26" i="1"/>
  <c r="CH39" i="1"/>
  <c r="BH34" i="1"/>
  <c r="BG34" i="1"/>
  <c r="BF35" i="1"/>
  <c r="CJ37" i="1"/>
  <c r="CI37" i="1"/>
  <c r="AJ38" i="1"/>
  <c r="AM40" i="1"/>
  <c r="BU40" i="1" s="1"/>
  <c r="CK39" i="1"/>
  <c r="AP36" i="1"/>
  <c r="BJ36" i="1" s="1"/>
  <c r="CL35" i="1"/>
  <c r="AO38" i="1"/>
  <c r="BA35" i="1"/>
  <c r="AY36" i="1"/>
  <c r="BK23" i="1"/>
  <c r="BO23" i="1" s="1"/>
  <c r="DH23" i="1"/>
  <c r="AW37" i="1"/>
  <c r="AX26" i="1" s="1"/>
  <c r="BI34" i="1"/>
  <c r="DF34" i="1"/>
  <c r="CM25" i="1"/>
  <c r="DP24" i="1"/>
  <c r="CM24" i="1"/>
  <c r="CP24" i="1"/>
  <c r="CN23" i="1"/>
  <c r="CQ23" i="1"/>
  <c r="DJ23" i="1"/>
  <c r="CC103" i="1" l="1"/>
  <c r="CE103" i="1" s="1"/>
  <c r="CF103" i="1" s="1"/>
  <c r="AQ104" i="1"/>
  <c r="CE102" i="1"/>
  <c r="CF102" i="1" s="1"/>
  <c r="CA40" i="1"/>
  <c r="BW38" i="1"/>
  <c r="BX38" i="1" s="1"/>
  <c r="BR38" i="1"/>
  <c r="BZ38" i="1"/>
  <c r="CH40" i="1"/>
  <c r="BF36" i="1"/>
  <c r="BH35" i="1"/>
  <c r="BG35" i="1"/>
  <c r="CJ38" i="1"/>
  <c r="AJ39" i="1"/>
  <c r="CI38" i="1"/>
  <c r="AM41" i="1"/>
  <c r="BU41" i="1" s="1"/>
  <c r="CK40" i="1"/>
  <c r="AO39" i="1"/>
  <c r="AP37" i="1"/>
  <c r="BJ37" i="1" s="1"/>
  <c r="CL36" i="1"/>
  <c r="DF36" i="1"/>
  <c r="BB36" i="1"/>
  <c r="BA36" i="1"/>
  <c r="BK24" i="1"/>
  <c r="BO24" i="1" s="1"/>
  <c r="DP25" i="1"/>
  <c r="AY37" i="1"/>
  <c r="BB37" i="1" s="1"/>
  <c r="CP25" i="1"/>
  <c r="BI35" i="1"/>
  <c r="DF35" i="1"/>
  <c r="CQ25" i="1"/>
  <c r="DH24" i="1"/>
  <c r="CN24" i="1"/>
  <c r="CQ24" i="1"/>
  <c r="DJ24" i="1"/>
  <c r="CC104" i="1" l="1"/>
  <c r="CE104" i="1" s="1"/>
  <c r="CF104" i="1" s="1"/>
  <c r="AQ105" i="1"/>
  <c r="CA41" i="1"/>
  <c r="BW39" i="1"/>
  <c r="BX39" i="1" s="1"/>
  <c r="BZ39" i="1" s="1"/>
  <c r="BR39" i="1"/>
  <c r="CH41" i="1"/>
  <c r="BF37" i="1"/>
  <c r="BG36" i="1"/>
  <c r="BH36" i="1"/>
  <c r="CJ39" i="1"/>
  <c r="CI39" i="1"/>
  <c r="AJ40" i="1"/>
  <c r="AM42" i="1"/>
  <c r="BU42" i="1" s="1"/>
  <c r="CA42" i="1" s="1"/>
  <c r="CK41" i="1"/>
  <c r="AP38" i="1"/>
  <c r="BJ38" i="1" s="1"/>
  <c r="CL37" i="1"/>
  <c r="DA26" i="1" s="1"/>
  <c r="R10" i="18" s="1"/>
  <c r="AO40" i="1"/>
  <c r="BI36" i="1"/>
  <c r="BA37" i="1"/>
  <c r="BK25" i="1"/>
  <c r="BO25" i="1" s="1"/>
  <c r="CV15" i="1"/>
  <c r="AY38" i="1"/>
  <c r="DJ25" i="1"/>
  <c r="CN25" i="1"/>
  <c r="DH25" i="1"/>
  <c r="N14" i="1"/>
  <c r="Z14" i="1" s="1"/>
  <c r="AW39" i="1"/>
  <c r="AW38" i="1"/>
  <c r="CM26" i="1"/>
  <c r="DP26" i="1"/>
  <c r="CP26" i="1"/>
  <c r="BC26" i="1"/>
  <c r="AZ26" i="1"/>
  <c r="DJ3" i="1"/>
  <c r="DJ4" i="1" s="1"/>
  <c r="AW3" i="1"/>
  <c r="AX2" i="1" s="1"/>
  <c r="DH3" i="1"/>
  <c r="DH4" i="1" s="1"/>
  <c r="CC105" i="1" l="1"/>
  <c r="CE105" i="1" s="1"/>
  <c r="CF105" i="1" s="1"/>
  <c r="AQ106" i="1"/>
  <c r="BW40" i="1"/>
  <c r="BX40" i="1" s="1"/>
  <c r="BZ40" i="1" s="1"/>
  <c r="BR40" i="1"/>
  <c r="CH42" i="1"/>
  <c r="BF38" i="1"/>
  <c r="BG37" i="1"/>
  <c r="BH37" i="1"/>
  <c r="CJ40" i="1"/>
  <c r="CI40" i="1"/>
  <c r="AJ41" i="1"/>
  <c r="AM43" i="1"/>
  <c r="BU43" i="1" s="1"/>
  <c r="CK42" i="1"/>
  <c r="CY14" i="1"/>
  <c r="P9" i="18" s="1"/>
  <c r="AO41" i="1"/>
  <c r="AP39" i="1"/>
  <c r="BJ39" i="1" s="1"/>
  <c r="CL38" i="1"/>
  <c r="BA38" i="1"/>
  <c r="BB38" i="1"/>
  <c r="CW14" i="1"/>
  <c r="H9" i="18"/>
  <c r="DH26" i="1"/>
  <c r="DJ26" i="1"/>
  <c r="CQ26" i="1"/>
  <c r="CN26" i="1"/>
  <c r="CP27" i="1"/>
  <c r="CM27" i="1"/>
  <c r="AW40" i="1"/>
  <c r="BI37" i="1"/>
  <c r="DF37" i="1"/>
  <c r="AY39" i="1"/>
  <c r="BB39" i="1" s="1"/>
  <c r="DP27" i="1"/>
  <c r="AY3" i="1"/>
  <c r="BD3" i="1" s="1"/>
  <c r="BE3" i="1" s="1"/>
  <c r="CC106" i="1" l="1"/>
  <c r="CE106" i="1" s="1"/>
  <c r="CF106" i="1" s="1"/>
  <c r="AQ107" i="1"/>
  <c r="CA43" i="1"/>
  <c r="BW41" i="1"/>
  <c r="BX41" i="1" s="1"/>
  <c r="BZ41" i="1" s="1"/>
  <c r="BR41" i="1"/>
  <c r="CH43" i="1"/>
  <c r="BG38" i="1"/>
  <c r="BF39" i="1"/>
  <c r="BI3" i="1"/>
  <c r="BG3" i="1"/>
  <c r="CJ41" i="1"/>
  <c r="AJ42" i="1"/>
  <c r="CI41" i="1"/>
  <c r="AM44" i="1"/>
  <c r="BU44" i="1" s="1"/>
  <c r="CK43" i="1"/>
  <c r="AP40" i="1"/>
  <c r="BJ40" i="1" s="1"/>
  <c r="CL39" i="1"/>
  <c r="AO42" i="1"/>
  <c r="AZ2" i="1"/>
  <c r="BB3" i="1"/>
  <c r="BA39" i="1"/>
  <c r="M9" i="18"/>
  <c r="I9" i="18"/>
  <c r="C9" i="18"/>
  <c r="CR14" i="1"/>
  <c r="E9" i="18" s="1"/>
  <c r="CO14" i="1"/>
  <c r="D9" i="18" s="1"/>
  <c r="AY40" i="1"/>
  <c r="DJ27" i="1"/>
  <c r="CM28" i="1"/>
  <c r="CP28" i="1"/>
  <c r="DH27" i="1"/>
  <c r="AW41" i="1"/>
  <c r="CN27" i="1"/>
  <c r="CQ27" i="1"/>
  <c r="DP28" i="1"/>
  <c r="BC2" i="1"/>
  <c r="CC107" i="1" l="1"/>
  <c r="CE107" i="1" s="1"/>
  <c r="CF107" i="1" s="1"/>
  <c r="AQ108" i="1"/>
  <c r="CH44" i="1"/>
  <c r="CA44" i="1"/>
  <c r="BW42" i="1"/>
  <c r="BX42" i="1" s="1"/>
  <c r="BZ42" i="1" s="1"/>
  <c r="BR42" i="1"/>
  <c r="BF40" i="1"/>
  <c r="BG39" i="1"/>
  <c r="CJ42" i="1"/>
  <c r="CI42" i="1"/>
  <c r="AJ43" i="1"/>
  <c r="AM45" i="1"/>
  <c r="BU45" i="1" s="1"/>
  <c r="CK44" i="1"/>
  <c r="AO43" i="1"/>
  <c r="AP41" i="1"/>
  <c r="BJ41" i="1" s="1"/>
  <c r="CL40" i="1"/>
  <c r="BA40" i="1"/>
  <c r="BI40" i="1"/>
  <c r="BB40" i="1"/>
  <c r="BK28" i="1"/>
  <c r="AY41" i="1"/>
  <c r="BB41" i="1" s="1"/>
  <c r="DP29" i="1"/>
  <c r="AW42" i="1"/>
  <c r="DH28" i="1"/>
  <c r="CQ28" i="1"/>
  <c r="CN28" i="1"/>
  <c r="CM29" i="1"/>
  <c r="CP29" i="1"/>
  <c r="DJ28" i="1"/>
  <c r="DF3" i="1"/>
  <c r="BK3" i="1"/>
  <c r="BO3" i="1" s="1"/>
  <c r="BH3" i="1"/>
  <c r="BO28" i="1" l="1"/>
  <c r="CC108" i="1"/>
  <c r="CE108" i="1" s="1"/>
  <c r="CF108" i="1" s="1"/>
  <c r="AQ109" i="1"/>
  <c r="CH45" i="1"/>
  <c r="CA45" i="1"/>
  <c r="BW43" i="1"/>
  <c r="BX43" i="1" s="1"/>
  <c r="BZ43" i="1" s="1"/>
  <c r="BR43" i="1"/>
  <c r="BP3" i="1"/>
  <c r="BF41" i="1"/>
  <c r="BH40" i="1"/>
  <c r="BG40" i="1"/>
  <c r="CJ43" i="1"/>
  <c r="CI43" i="1"/>
  <c r="AJ44" i="1"/>
  <c r="AM46" i="1"/>
  <c r="BU46" i="1" s="1"/>
  <c r="CK45" i="1"/>
  <c r="AP42" i="1"/>
  <c r="BJ42" i="1" s="1"/>
  <c r="CL41" i="1"/>
  <c r="AO44" i="1"/>
  <c r="BM3" i="1"/>
  <c r="DF40" i="1"/>
  <c r="BA41" i="1"/>
  <c r="DF41" i="1"/>
  <c r="BK29" i="1"/>
  <c r="DJ29" i="1"/>
  <c r="DH29" i="1"/>
  <c r="CP30" i="1"/>
  <c r="CM30" i="1"/>
  <c r="AW43" i="1"/>
  <c r="DP30" i="1"/>
  <c r="CQ29" i="1"/>
  <c r="CN29" i="1"/>
  <c r="AY42" i="1"/>
  <c r="BB42" i="1" s="1"/>
  <c r="BO29" i="1" l="1"/>
  <c r="CC109" i="1"/>
  <c r="AQ110" i="1"/>
  <c r="CH46" i="1"/>
  <c r="CA46" i="1"/>
  <c r="BW44" i="1"/>
  <c r="BX44" i="1" s="1"/>
  <c r="BZ44" i="1" s="1"/>
  <c r="BR44" i="1"/>
  <c r="BF42" i="1"/>
  <c r="BG41" i="1"/>
  <c r="BH41" i="1"/>
  <c r="CJ44" i="1"/>
  <c r="AJ45" i="1"/>
  <c r="CI44" i="1"/>
  <c r="AM47" i="1"/>
  <c r="BU47" i="1" s="1"/>
  <c r="CK46" i="1"/>
  <c r="AP43" i="1"/>
  <c r="BJ43" i="1" s="1"/>
  <c r="CL42" i="1"/>
  <c r="AO45" i="1"/>
  <c r="BQ3" i="1"/>
  <c r="BA42" i="1"/>
  <c r="BI41" i="1"/>
  <c r="DJ30" i="1"/>
  <c r="BK30" i="1"/>
  <c r="DP31" i="1"/>
  <c r="DH30" i="1"/>
  <c r="AW44" i="1"/>
  <c r="CP31" i="1"/>
  <c r="CM31" i="1"/>
  <c r="CN30" i="1"/>
  <c r="CQ30" i="1"/>
  <c r="AY43" i="1"/>
  <c r="BB43" i="1" s="1"/>
  <c r="BN30" i="1" l="1"/>
  <c r="BO30" i="1"/>
  <c r="CC110" i="1"/>
  <c r="AQ111" i="1"/>
  <c r="CE109" i="1"/>
  <c r="CF109" i="1" s="1"/>
  <c r="CD98" i="1"/>
  <c r="CH47" i="1"/>
  <c r="CA47" i="1"/>
  <c r="BW45" i="1"/>
  <c r="BX45" i="1" s="1"/>
  <c r="BZ45" i="1" s="1"/>
  <c r="BR45" i="1"/>
  <c r="BF43" i="1"/>
  <c r="BH42" i="1"/>
  <c r="BG42" i="1"/>
  <c r="CJ45" i="1"/>
  <c r="AJ46" i="1"/>
  <c r="CI45" i="1"/>
  <c r="AM48" i="1"/>
  <c r="BU48" i="1" s="1"/>
  <c r="CK47" i="1"/>
  <c r="AO46" i="1"/>
  <c r="AP44" i="1"/>
  <c r="BJ44" i="1" s="1"/>
  <c r="CL43" i="1"/>
  <c r="BA43" i="1"/>
  <c r="DJ31" i="1"/>
  <c r="BK31" i="1"/>
  <c r="AW45" i="1"/>
  <c r="DP32" i="1"/>
  <c r="CM32" i="1"/>
  <c r="CP32" i="1"/>
  <c r="DH31" i="1"/>
  <c r="BI42" i="1"/>
  <c r="DF42" i="1"/>
  <c r="CN31" i="1"/>
  <c r="CQ31" i="1"/>
  <c r="AY44" i="1"/>
  <c r="BB44" i="1" s="1"/>
  <c r="BN31" i="1" l="1"/>
  <c r="BO31" i="1"/>
  <c r="CC111" i="1"/>
  <c r="CE111" i="1" s="1"/>
  <c r="CF111" i="1" s="1"/>
  <c r="AQ112" i="1"/>
  <c r="CE110" i="1"/>
  <c r="CF110" i="1" s="1"/>
  <c r="CH48" i="1"/>
  <c r="CA48" i="1"/>
  <c r="BW46" i="1"/>
  <c r="BX46" i="1" s="1"/>
  <c r="BZ46" i="1" s="1"/>
  <c r="BR46" i="1"/>
  <c r="BG43" i="1"/>
  <c r="BH43" i="1"/>
  <c r="BF44" i="1"/>
  <c r="CJ46" i="1"/>
  <c r="CI46" i="1"/>
  <c r="AJ47" i="1"/>
  <c r="AM49" i="1"/>
  <c r="BU49" i="1" s="1"/>
  <c r="CA49" i="1" s="1"/>
  <c r="CB38" i="1" s="1"/>
  <c r="CK48" i="1"/>
  <c r="AP45" i="1"/>
  <c r="BJ45" i="1" s="1"/>
  <c r="CL44" i="1"/>
  <c r="AO47" i="1"/>
  <c r="BA44" i="1"/>
  <c r="DP33" i="1"/>
  <c r="BK32" i="1"/>
  <c r="DH32" i="1"/>
  <c r="DJ32" i="1"/>
  <c r="BI43" i="1"/>
  <c r="DF43" i="1"/>
  <c r="AW46" i="1"/>
  <c r="CP33" i="1"/>
  <c r="CM33" i="1"/>
  <c r="CQ32" i="1"/>
  <c r="CN32" i="1"/>
  <c r="AY45" i="1"/>
  <c r="BB45" i="1" s="1"/>
  <c r="BN32" i="1" l="1"/>
  <c r="BO32" i="1"/>
  <c r="CC112" i="1"/>
  <c r="AQ113" i="1"/>
  <c r="BW47" i="1"/>
  <c r="BX47" i="1" s="1"/>
  <c r="BZ47" i="1" s="1"/>
  <c r="BR47" i="1"/>
  <c r="BV38" i="1"/>
  <c r="BF45" i="1"/>
  <c r="BG44" i="1"/>
  <c r="BH44" i="1"/>
  <c r="CJ47" i="1"/>
  <c r="AJ48" i="1"/>
  <c r="CI47" i="1"/>
  <c r="AM50" i="1"/>
  <c r="BU50" i="1" s="1"/>
  <c r="CK49" i="1"/>
  <c r="CZ38" i="1" s="1"/>
  <c r="Q11" i="18" s="1"/>
  <c r="AO48" i="1"/>
  <c r="AP46" i="1"/>
  <c r="BJ46" i="1" s="1"/>
  <c r="CL45" i="1"/>
  <c r="BA45" i="1"/>
  <c r="BK33" i="1"/>
  <c r="DH33" i="1"/>
  <c r="DJ33" i="1"/>
  <c r="BI44" i="1"/>
  <c r="DF44" i="1"/>
  <c r="AW47" i="1"/>
  <c r="CM34" i="1"/>
  <c r="CP34" i="1"/>
  <c r="AY46" i="1"/>
  <c r="BB46" i="1" s="1"/>
  <c r="CQ33" i="1"/>
  <c r="CN33" i="1"/>
  <c r="DP34" i="1"/>
  <c r="BN33" i="1" l="1"/>
  <c r="BO33" i="1"/>
  <c r="CC113" i="1"/>
  <c r="AQ114" i="1"/>
  <c r="CE112" i="1"/>
  <c r="CF112" i="1" s="1"/>
  <c r="CA50" i="1"/>
  <c r="CF50" i="1" s="1"/>
  <c r="BW48" i="1"/>
  <c r="BX48" i="1" s="1"/>
  <c r="BZ48" i="1" s="1"/>
  <c r="BR48" i="1"/>
  <c r="CG38" i="1"/>
  <c r="CH49" i="1"/>
  <c r="BF46" i="1"/>
  <c r="BH45" i="1"/>
  <c r="BG45" i="1"/>
  <c r="CJ48" i="1"/>
  <c r="CI48" i="1"/>
  <c r="AJ49" i="1"/>
  <c r="AM51" i="1"/>
  <c r="BU51" i="1" s="1"/>
  <c r="CK50" i="1"/>
  <c r="AP47" i="1"/>
  <c r="BJ47" i="1" s="1"/>
  <c r="CL46" i="1"/>
  <c r="AO49" i="1"/>
  <c r="BA46" i="1"/>
  <c r="BK34" i="1"/>
  <c r="AY47" i="1"/>
  <c r="DH34" i="1"/>
  <c r="DP35" i="1"/>
  <c r="CN34" i="1"/>
  <c r="CQ34" i="1"/>
  <c r="DF45" i="1"/>
  <c r="BI45" i="1"/>
  <c r="CP35" i="1"/>
  <c r="CM35" i="1"/>
  <c r="DJ34" i="1"/>
  <c r="AW49" i="1"/>
  <c r="AW48" i="1"/>
  <c r="BN34" i="1" l="1"/>
  <c r="BO34" i="1"/>
  <c r="CC114" i="1"/>
  <c r="CE114" i="1" s="1"/>
  <c r="CF114" i="1" s="1"/>
  <c r="AQ115" i="1"/>
  <c r="CH50" i="1"/>
  <c r="CE113" i="1"/>
  <c r="CF113" i="1" s="1"/>
  <c r="CA51" i="1"/>
  <c r="CF51" i="1" s="1"/>
  <c r="BW49" i="1"/>
  <c r="BX49" i="1" s="1"/>
  <c r="BR49" i="1"/>
  <c r="BZ49" i="1"/>
  <c r="BY38" i="1"/>
  <c r="BF47" i="1"/>
  <c r="BH46" i="1"/>
  <c r="BG46" i="1"/>
  <c r="CJ49" i="1"/>
  <c r="CI49" i="1"/>
  <c r="AJ50" i="1"/>
  <c r="AM52" i="1"/>
  <c r="BU52" i="1" s="1"/>
  <c r="CK51" i="1"/>
  <c r="AO50" i="1"/>
  <c r="AP48" i="1"/>
  <c r="BJ48" i="1" s="1"/>
  <c r="CL47" i="1"/>
  <c r="BI47" i="1"/>
  <c r="BB47" i="1"/>
  <c r="BA47" i="1"/>
  <c r="AX38" i="1"/>
  <c r="BK35" i="1"/>
  <c r="DP36" i="1"/>
  <c r="DH35" i="1"/>
  <c r="DJ35" i="1"/>
  <c r="AY48" i="1"/>
  <c r="BB48" i="1" s="1"/>
  <c r="CM36" i="1"/>
  <c r="CP36" i="1"/>
  <c r="AY49" i="1"/>
  <c r="BB49" i="1" s="1"/>
  <c r="CQ35" i="1"/>
  <c r="CN35" i="1"/>
  <c r="BI46" i="1"/>
  <c r="DF46" i="1"/>
  <c r="BN35" i="1" l="1"/>
  <c r="BO35" i="1"/>
  <c r="CH51" i="1"/>
  <c r="CC115" i="1"/>
  <c r="CE115" i="1" s="1"/>
  <c r="CF115" i="1" s="1"/>
  <c r="AQ116" i="1"/>
  <c r="CA52" i="1"/>
  <c r="CF52" i="1" s="1"/>
  <c r="BW50" i="1"/>
  <c r="BX50" i="1" s="1"/>
  <c r="BZ50" i="1" s="1"/>
  <c r="BR50" i="1"/>
  <c r="BF48" i="1"/>
  <c r="BG47" i="1"/>
  <c r="BH47" i="1"/>
  <c r="CJ50" i="1"/>
  <c r="AJ51" i="1"/>
  <c r="CI50" i="1"/>
  <c r="AY50" i="1"/>
  <c r="BB50" i="1" s="1"/>
  <c r="AM53" i="1"/>
  <c r="BU53" i="1" s="1"/>
  <c r="CK52" i="1"/>
  <c r="AP49" i="1"/>
  <c r="BJ49" i="1" s="1"/>
  <c r="CL48" i="1"/>
  <c r="AO51" i="1"/>
  <c r="DF47" i="1"/>
  <c r="BA48" i="1"/>
  <c r="BA49" i="1" s="1"/>
  <c r="BK36" i="1"/>
  <c r="DH36" i="1"/>
  <c r="DJ36" i="1"/>
  <c r="CN36" i="1"/>
  <c r="CQ36" i="1"/>
  <c r="CP37" i="1"/>
  <c r="CM37" i="1"/>
  <c r="BC38" i="1"/>
  <c r="AZ38" i="1"/>
  <c r="DP37" i="1"/>
  <c r="CH52" i="1" l="1"/>
  <c r="BN36" i="1"/>
  <c r="BO36" i="1"/>
  <c r="CC116" i="1"/>
  <c r="CE116" i="1" s="1"/>
  <c r="CF116" i="1" s="1"/>
  <c r="AQ117" i="1"/>
  <c r="CA53" i="1"/>
  <c r="CF53" i="1" s="1"/>
  <c r="BW51" i="1"/>
  <c r="BX51" i="1" s="1"/>
  <c r="BZ51" i="1" s="1"/>
  <c r="BR51" i="1"/>
  <c r="CH53" i="1"/>
  <c r="BH48" i="1"/>
  <c r="BG48" i="1"/>
  <c r="BF49" i="1"/>
  <c r="BA50" i="1"/>
  <c r="CQ50" i="1"/>
  <c r="CN50" i="1"/>
  <c r="CJ51" i="1"/>
  <c r="CI51" i="1"/>
  <c r="AJ52" i="1"/>
  <c r="AY51" i="1"/>
  <c r="BB51" i="1" s="1"/>
  <c r="AM54" i="1"/>
  <c r="BU54" i="1" s="1"/>
  <c r="CA54" i="1" s="1"/>
  <c r="CF54" i="1" s="1"/>
  <c r="CK53" i="1"/>
  <c r="AO52" i="1"/>
  <c r="AP50" i="1"/>
  <c r="BJ50" i="1" s="1"/>
  <c r="CL49" i="1"/>
  <c r="DA38" i="1" s="1"/>
  <c r="R11" i="18" s="1"/>
  <c r="BK37" i="1"/>
  <c r="DH37" i="1"/>
  <c r="CQ37" i="1"/>
  <c r="CN37" i="1"/>
  <c r="CV27" i="1"/>
  <c r="N26" i="1"/>
  <c r="Z26" i="1" s="1"/>
  <c r="DF48" i="1"/>
  <c r="BI48" i="1"/>
  <c r="DP38" i="1"/>
  <c r="CM38" i="1"/>
  <c r="CP38" i="1"/>
  <c r="DF49" i="1"/>
  <c r="BI49" i="1"/>
  <c r="DJ37" i="1"/>
  <c r="BN37" i="1" l="1"/>
  <c r="BO37" i="1"/>
  <c r="CC117" i="1"/>
  <c r="CE117" i="1" s="1"/>
  <c r="CF117" i="1" s="1"/>
  <c r="AQ118" i="1"/>
  <c r="BW52" i="1"/>
  <c r="BX52" i="1" s="1"/>
  <c r="BZ52" i="1" s="1"/>
  <c r="BR52" i="1"/>
  <c r="CH54" i="1"/>
  <c r="BA51" i="1"/>
  <c r="BF50" i="1"/>
  <c r="BH49" i="1"/>
  <c r="BG49" i="1"/>
  <c r="CJ52" i="1"/>
  <c r="AJ53" i="1"/>
  <c r="CI52" i="1"/>
  <c r="AY52" i="1"/>
  <c r="CN51" i="1"/>
  <c r="CQ51" i="1"/>
  <c r="BI52" i="1"/>
  <c r="DF52" i="1"/>
  <c r="AM55" i="1"/>
  <c r="BU55" i="1" s="1"/>
  <c r="CK54" i="1"/>
  <c r="CY26" i="1"/>
  <c r="P10" i="18" s="1"/>
  <c r="AO53" i="1"/>
  <c r="AP51" i="1"/>
  <c r="BJ51" i="1" s="1"/>
  <c r="CL50" i="1"/>
  <c r="CW26" i="1"/>
  <c r="C10" i="18" s="1"/>
  <c r="H10" i="18"/>
  <c r="DP39" i="1"/>
  <c r="DP40" i="1" s="1"/>
  <c r="CN38" i="1"/>
  <c r="CQ38" i="1"/>
  <c r="DH38" i="1"/>
  <c r="DJ38" i="1"/>
  <c r="CP39" i="1"/>
  <c r="CM39" i="1"/>
  <c r="CC118" i="1" l="1"/>
  <c r="CE118" i="1" s="1"/>
  <c r="CF118" i="1" s="1"/>
  <c r="AQ119" i="1"/>
  <c r="CA55" i="1"/>
  <c r="CF55" i="1" s="1"/>
  <c r="CH55" i="1" s="1"/>
  <c r="BW53" i="1"/>
  <c r="BX53" i="1" s="1"/>
  <c r="BZ53" i="1" s="1"/>
  <c r="BR53" i="1"/>
  <c r="BF51" i="1"/>
  <c r="BG50" i="1"/>
  <c r="CJ53" i="1"/>
  <c r="AJ54" i="1"/>
  <c r="CI53" i="1"/>
  <c r="AY53" i="1"/>
  <c r="BB53" i="1" s="1"/>
  <c r="BA52" i="1"/>
  <c r="BB52" i="1"/>
  <c r="CN52" i="1"/>
  <c r="CQ52" i="1"/>
  <c r="AM56" i="1"/>
  <c r="BU56" i="1" s="1"/>
  <c r="CK55" i="1"/>
  <c r="DF53" i="1"/>
  <c r="BI53" i="1"/>
  <c r="AP52" i="1"/>
  <c r="BJ52" i="1" s="1"/>
  <c r="CL51" i="1"/>
  <c r="AO54" i="1"/>
  <c r="CO26" i="1"/>
  <c r="D10" i="18" s="1"/>
  <c r="CR26" i="1"/>
  <c r="E10" i="18" s="1"/>
  <c r="M10" i="18"/>
  <c r="I10" i="18"/>
  <c r="DJ39" i="1"/>
  <c r="CQ39" i="1"/>
  <c r="CN39" i="1"/>
  <c r="DH39" i="1"/>
  <c r="CP40" i="1"/>
  <c r="CM40" i="1"/>
  <c r="CC119" i="1" l="1"/>
  <c r="CE119" i="1" s="1"/>
  <c r="CF119" i="1" s="1"/>
  <c r="AQ120" i="1"/>
  <c r="CA56" i="1"/>
  <c r="CF56" i="1" s="1"/>
  <c r="BW54" i="1"/>
  <c r="BX54" i="1" s="1"/>
  <c r="BZ54" i="1" s="1"/>
  <c r="BR54" i="1"/>
  <c r="CH56" i="1"/>
  <c r="BG51" i="1"/>
  <c r="BF52" i="1"/>
  <c r="BA53" i="1"/>
  <c r="CJ54" i="1"/>
  <c r="CI54" i="1"/>
  <c r="AJ55" i="1"/>
  <c r="AY54" i="1"/>
  <c r="BB54" i="1" s="1"/>
  <c r="CN53" i="1"/>
  <c r="CQ53" i="1"/>
  <c r="AM57" i="1"/>
  <c r="BU57" i="1" s="1"/>
  <c r="CK56" i="1"/>
  <c r="DF54" i="1"/>
  <c r="BI54" i="1"/>
  <c r="AO55" i="1"/>
  <c r="AP53" i="1"/>
  <c r="BJ53" i="1" s="1"/>
  <c r="CL52" i="1"/>
  <c r="BK52" i="1"/>
  <c r="DJ40" i="1"/>
  <c r="BK40" i="1"/>
  <c r="DH40" i="1"/>
  <c r="CN40" i="1"/>
  <c r="CQ40" i="1"/>
  <c r="CP41" i="1"/>
  <c r="CM41" i="1"/>
  <c r="DP41" i="1"/>
  <c r="BN52" i="1" l="1"/>
  <c r="BO52" i="1"/>
  <c r="BN40" i="1"/>
  <c r="BO40" i="1"/>
  <c r="CC120" i="1"/>
  <c r="CE120" i="1" s="1"/>
  <c r="CF120" i="1" s="1"/>
  <c r="AQ121" i="1"/>
  <c r="CA57" i="1"/>
  <c r="CF57" i="1" s="1"/>
  <c r="CH57" i="1" s="1"/>
  <c r="BW55" i="1"/>
  <c r="BX55" i="1" s="1"/>
  <c r="BZ55" i="1" s="1"/>
  <c r="BR55" i="1"/>
  <c r="BF53" i="1"/>
  <c r="BG52" i="1"/>
  <c r="BH52" i="1"/>
  <c r="CN54" i="1"/>
  <c r="CQ54" i="1"/>
  <c r="CJ55" i="1"/>
  <c r="CI55" i="1"/>
  <c r="AJ56" i="1"/>
  <c r="AY55" i="1"/>
  <c r="BB55" i="1" s="1"/>
  <c r="BA54" i="1"/>
  <c r="BI55" i="1"/>
  <c r="DF55" i="1"/>
  <c r="AM58" i="1"/>
  <c r="BU58" i="1" s="1"/>
  <c r="CK57" i="1"/>
  <c r="AP54" i="1"/>
  <c r="BJ54" i="1" s="1"/>
  <c r="BK53" i="1"/>
  <c r="CL53" i="1"/>
  <c r="AO56" i="1"/>
  <c r="DJ41" i="1"/>
  <c r="BK41" i="1"/>
  <c r="DH41" i="1"/>
  <c r="DP42" i="1"/>
  <c r="CN41" i="1"/>
  <c r="CQ41" i="1"/>
  <c r="CP42" i="1"/>
  <c r="CM42" i="1"/>
  <c r="BN53" i="1" l="1"/>
  <c r="BO53" i="1"/>
  <c r="BN41" i="1"/>
  <c r="BO41" i="1"/>
  <c r="CC121" i="1"/>
  <c r="AQ122" i="1"/>
  <c r="CH58" i="1"/>
  <c r="CA58" i="1"/>
  <c r="BW56" i="1"/>
  <c r="BX56" i="1" s="1"/>
  <c r="BZ56" i="1" s="1"/>
  <c r="BR56" i="1"/>
  <c r="BF54" i="1"/>
  <c r="BH53" i="1"/>
  <c r="BG53" i="1"/>
  <c r="BA55" i="1"/>
  <c r="CJ56" i="1"/>
  <c r="AJ57" i="1"/>
  <c r="CI56" i="1"/>
  <c r="AY56" i="1"/>
  <c r="BB56" i="1" s="1"/>
  <c r="CQ55" i="1"/>
  <c r="CN55" i="1"/>
  <c r="AM59" i="1"/>
  <c r="BU59" i="1" s="1"/>
  <c r="CK58" i="1"/>
  <c r="BI56" i="1"/>
  <c r="DF56" i="1"/>
  <c r="AO57" i="1"/>
  <c r="AP55" i="1"/>
  <c r="BJ55" i="1" s="1"/>
  <c r="CL54" i="1"/>
  <c r="BK54" i="1"/>
  <c r="DP43" i="1"/>
  <c r="DP44" i="1" s="1"/>
  <c r="BK42" i="1"/>
  <c r="DH42" i="1"/>
  <c r="CN42" i="1"/>
  <c r="CQ42" i="1"/>
  <c r="DJ42" i="1"/>
  <c r="CP43" i="1"/>
  <c r="CM43" i="1"/>
  <c r="BN54" i="1" l="1"/>
  <c r="BO54" i="1"/>
  <c r="BN42" i="1"/>
  <c r="BO42" i="1"/>
  <c r="CC122" i="1"/>
  <c r="AQ123" i="1"/>
  <c r="CE121" i="1"/>
  <c r="CF121" i="1" s="1"/>
  <c r="CD110" i="1"/>
  <c r="CH59" i="1"/>
  <c r="CA59" i="1"/>
  <c r="BW57" i="1"/>
  <c r="BX57" i="1" s="1"/>
  <c r="BZ57" i="1" s="1"/>
  <c r="BR57" i="1"/>
  <c r="BH54" i="1"/>
  <c r="BG54" i="1"/>
  <c r="BK55" i="1"/>
  <c r="BF55" i="1"/>
  <c r="CJ57" i="1"/>
  <c r="AJ58" i="1"/>
  <c r="CI57" i="1"/>
  <c r="AY57" i="1"/>
  <c r="CQ56" i="1"/>
  <c r="CN56" i="1"/>
  <c r="BA56" i="1"/>
  <c r="BI57" i="1"/>
  <c r="DF57" i="1"/>
  <c r="AM60" i="1"/>
  <c r="BU60" i="1" s="1"/>
  <c r="CK59" i="1"/>
  <c r="AO58" i="1"/>
  <c r="AP56" i="1"/>
  <c r="BJ56" i="1" s="1"/>
  <c r="CL55" i="1"/>
  <c r="BK43" i="1"/>
  <c r="DJ43" i="1"/>
  <c r="CN43" i="1"/>
  <c r="CQ43" i="1"/>
  <c r="CM44" i="1"/>
  <c r="CP44" i="1"/>
  <c r="DH43" i="1"/>
  <c r="BN55" i="1" l="1"/>
  <c r="BO55" i="1"/>
  <c r="BN43" i="1"/>
  <c r="BO43" i="1"/>
  <c r="CC123" i="1"/>
  <c r="CE123" i="1" s="1"/>
  <c r="CF123" i="1" s="1"/>
  <c r="AQ124" i="1"/>
  <c r="CE122" i="1"/>
  <c r="CF122" i="1" s="1"/>
  <c r="CH60" i="1"/>
  <c r="CA60" i="1"/>
  <c r="BW58" i="1"/>
  <c r="BX58" i="1" s="1"/>
  <c r="BZ58" i="1" s="1"/>
  <c r="BR58" i="1"/>
  <c r="BF56" i="1"/>
  <c r="BH55" i="1"/>
  <c r="BG55" i="1"/>
  <c r="BA57" i="1"/>
  <c r="BB57" i="1"/>
  <c r="CJ58" i="1"/>
  <c r="CI58" i="1"/>
  <c r="AJ59" i="1"/>
  <c r="AY58" i="1"/>
  <c r="CQ57" i="1"/>
  <c r="CN57" i="1"/>
  <c r="DF58" i="1"/>
  <c r="BI58" i="1"/>
  <c r="AM61" i="1"/>
  <c r="BU61" i="1" s="1"/>
  <c r="CA61" i="1" s="1"/>
  <c r="CB50" i="1" s="1"/>
  <c r="CK60" i="1"/>
  <c r="AP57" i="1"/>
  <c r="BJ57" i="1" s="1"/>
  <c r="BK56" i="1"/>
  <c r="CL56" i="1"/>
  <c r="AO59" i="1"/>
  <c r="BK44" i="1"/>
  <c r="DJ44" i="1"/>
  <c r="CM45" i="1"/>
  <c r="CP45" i="1"/>
  <c r="DP45" i="1"/>
  <c r="CN44" i="1"/>
  <c r="CQ44" i="1"/>
  <c r="DH44" i="1"/>
  <c r="BN56" i="1" l="1"/>
  <c r="BO56" i="1"/>
  <c r="BN44" i="1"/>
  <c r="BO44" i="1"/>
  <c r="CC124" i="1"/>
  <c r="AQ125" i="1"/>
  <c r="BW59" i="1"/>
  <c r="BX59" i="1" s="1"/>
  <c r="BZ59" i="1" s="1"/>
  <c r="BR59" i="1"/>
  <c r="BV50" i="1"/>
  <c r="BF57" i="1"/>
  <c r="BG56" i="1"/>
  <c r="BH56" i="1"/>
  <c r="CN58" i="1"/>
  <c r="CQ58" i="1"/>
  <c r="BA58" i="1"/>
  <c r="BB58" i="1"/>
  <c r="CJ59" i="1"/>
  <c r="AJ60" i="1"/>
  <c r="CI59" i="1"/>
  <c r="AY59" i="1"/>
  <c r="BB59" i="1" s="1"/>
  <c r="AM62" i="1"/>
  <c r="BU62" i="1" s="1"/>
  <c r="CK61" i="1"/>
  <c r="CZ50" i="1" s="1"/>
  <c r="BI59" i="1"/>
  <c r="DF59" i="1"/>
  <c r="AO60" i="1"/>
  <c r="AP58" i="1"/>
  <c r="BJ58" i="1" s="1"/>
  <c r="CL57" i="1"/>
  <c r="BK57" i="1"/>
  <c r="BK45" i="1"/>
  <c r="DP46" i="1"/>
  <c r="DP47" i="1" s="1"/>
  <c r="DJ45" i="1"/>
  <c r="CN45" i="1"/>
  <c r="CQ45" i="1"/>
  <c r="DH45" i="1"/>
  <c r="CM46" i="1"/>
  <c r="CP46" i="1"/>
  <c r="BN57" i="1" l="1"/>
  <c r="BO57" i="1"/>
  <c r="BN45" i="1"/>
  <c r="BO45" i="1"/>
  <c r="CC125" i="1"/>
  <c r="AQ126" i="1"/>
  <c r="CE124" i="1"/>
  <c r="CF124" i="1" s="1"/>
  <c r="CA62" i="1"/>
  <c r="BW60" i="1"/>
  <c r="BX60" i="1" s="1"/>
  <c r="BZ60" i="1" s="1"/>
  <c r="BR60" i="1"/>
  <c r="CG50" i="1"/>
  <c r="CH61" i="1"/>
  <c r="CH62" i="1" s="1"/>
  <c r="BK58" i="1"/>
  <c r="BF58" i="1"/>
  <c r="BG57" i="1"/>
  <c r="BH57" i="1"/>
  <c r="BA59" i="1"/>
  <c r="CJ60" i="1"/>
  <c r="CI60" i="1"/>
  <c r="AJ61" i="1"/>
  <c r="AY60" i="1"/>
  <c r="CN59" i="1"/>
  <c r="CQ59" i="1"/>
  <c r="DF60" i="1"/>
  <c r="BI60" i="1"/>
  <c r="AM63" i="1"/>
  <c r="BU63" i="1" s="1"/>
  <c r="CK62" i="1"/>
  <c r="AP59" i="1"/>
  <c r="BJ59" i="1" s="1"/>
  <c r="CL58" i="1"/>
  <c r="AO61" i="1"/>
  <c r="BK46" i="1"/>
  <c r="DH46" i="1"/>
  <c r="DJ46" i="1"/>
  <c r="DP48" i="1"/>
  <c r="CN46" i="1"/>
  <c r="CQ46" i="1"/>
  <c r="CP47" i="1"/>
  <c r="CM47" i="1"/>
  <c r="BN58" i="1" l="1"/>
  <c r="BO58" i="1"/>
  <c r="BN46" i="1"/>
  <c r="BO46" i="1"/>
  <c r="CC126" i="1"/>
  <c r="CE126" i="1" s="1"/>
  <c r="CF126" i="1" s="1"/>
  <c r="AQ127" i="1"/>
  <c r="CE125" i="1"/>
  <c r="CF125" i="1" s="1"/>
  <c r="CA63" i="1"/>
  <c r="BW61" i="1"/>
  <c r="BX61" i="1" s="1"/>
  <c r="BR61" i="1"/>
  <c r="BZ61" i="1"/>
  <c r="BY50" i="1"/>
  <c r="CH63" i="1"/>
  <c r="BG58" i="1"/>
  <c r="BH58" i="1"/>
  <c r="BK59" i="1"/>
  <c r="BF59" i="1"/>
  <c r="BA60" i="1"/>
  <c r="BB60" i="1"/>
  <c r="CJ61" i="1"/>
  <c r="CI61" i="1"/>
  <c r="AJ62" i="1"/>
  <c r="AY61" i="1"/>
  <c r="CQ60" i="1"/>
  <c r="CN60" i="1"/>
  <c r="BI61" i="1"/>
  <c r="DF61" i="1"/>
  <c r="AM64" i="1"/>
  <c r="BU64" i="1" s="1"/>
  <c r="CA64" i="1" s="1"/>
  <c r="CK63" i="1"/>
  <c r="AO62" i="1"/>
  <c r="AP60" i="1"/>
  <c r="BJ60" i="1" s="1"/>
  <c r="CL59" i="1"/>
  <c r="DP49" i="1"/>
  <c r="BK47" i="1"/>
  <c r="CP48" i="1"/>
  <c r="CM48" i="1"/>
  <c r="CM49" i="1"/>
  <c r="CP49" i="1"/>
  <c r="DH47" i="1"/>
  <c r="CN47" i="1"/>
  <c r="CQ47" i="1"/>
  <c r="DJ47" i="1"/>
  <c r="BN59" i="1" l="1"/>
  <c r="BO59" i="1"/>
  <c r="BN47" i="1"/>
  <c r="BO47" i="1"/>
  <c r="CC127" i="1"/>
  <c r="CE127" i="1" s="1"/>
  <c r="CF127" i="1" s="1"/>
  <c r="AQ128" i="1"/>
  <c r="BW62" i="1"/>
  <c r="BX62" i="1" s="1"/>
  <c r="BR62" i="1"/>
  <c r="BZ62" i="1"/>
  <c r="CH64" i="1"/>
  <c r="BF60" i="1"/>
  <c r="BG59" i="1"/>
  <c r="BH59" i="1"/>
  <c r="BA61" i="1"/>
  <c r="BB61" i="1"/>
  <c r="CN61" i="1"/>
  <c r="CQ61" i="1"/>
  <c r="CV51" i="1"/>
  <c r="BC50" i="1"/>
  <c r="CJ62" i="1"/>
  <c r="CI62" i="1"/>
  <c r="AJ63" i="1"/>
  <c r="AY62" i="1"/>
  <c r="BB62" i="1" s="1"/>
  <c r="AZ50" i="1"/>
  <c r="AM65" i="1"/>
  <c r="BU65" i="1" s="1"/>
  <c r="CK64" i="1"/>
  <c r="AO63" i="1"/>
  <c r="AP61" i="1"/>
  <c r="BJ61" i="1" s="1"/>
  <c r="CL60" i="1"/>
  <c r="BK60" i="1"/>
  <c r="BK49" i="1"/>
  <c r="BK48" i="1"/>
  <c r="DJ48" i="1"/>
  <c r="DJ49" i="1" s="1"/>
  <c r="DH48" i="1"/>
  <c r="DH49" i="1" s="1"/>
  <c r="CN49" i="1"/>
  <c r="CQ49" i="1"/>
  <c r="CV39" i="1"/>
  <c r="CQ48" i="1"/>
  <c r="CN48" i="1"/>
  <c r="N38" i="1"/>
  <c r="Z38" i="1" s="1"/>
  <c r="BN60" i="1" l="1"/>
  <c r="BO60" i="1"/>
  <c r="BN48" i="1"/>
  <c r="BO48" i="1"/>
  <c r="BN49" i="1"/>
  <c r="BO49" i="1"/>
  <c r="CC128" i="1"/>
  <c r="CE128" i="1" s="1"/>
  <c r="CF128" i="1" s="1"/>
  <c r="AQ129" i="1"/>
  <c r="CA65" i="1"/>
  <c r="BW63" i="1"/>
  <c r="BX63" i="1" s="1"/>
  <c r="BZ63" i="1" s="1"/>
  <c r="BR63" i="1"/>
  <c r="CH65" i="1"/>
  <c r="BH60" i="1"/>
  <c r="BG60" i="1"/>
  <c r="BK61" i="1"/>
  <c r="BF61" i="1"/>
  <c r="CW50" i="1"/>
  <c r="CY50" i="1"/>
  <c r="CN62" i="1"/>
  <c r="CQ62" i="1"/>
  <c r="CJ63" i="1"/>
  <c r="CI63" i="1"/>
  <c r="AJ64" i="1"/>
  <c r="AY63" i="1"/>
  <c r="BB63" i="1" s="1"/>
  <c r="BA62" i="1"/>
  <c r="AM66" i="1"/>
  <c r="BU66" i="1" s="1"/>
  <c r="CK65" i="1"/>
  <c r="CY38" i="1"/>
  <c r="P11" i="18" s="1"/>
  <c r="AP62" i="1"/>
  <c r="BJ62" i="1" s="1"/>
  <c r="CL61" i="1"/>
  <c r="DA50" i="1" s="1"/>
  <c r="AO64" i="1"/>
  <c r="CW38" i="1"/>
  <c r="C11" i="18" s="1"/>
  <c r="H11" i="18"/>
  <c r="BN61" i="1" l="1"/>
  <c r="BO61" i="1"/>
  <c r="CC129" i="1"/>
  <c r="CE129" i="1" s="1"/>
  <c r="CF129" i="1" s="1"/>
  <c r="AQ130" i="1"/>
  <c r="CH66" i="1"/>
  <c r="CA66" i="1"/>
  <c r="BW64" i="1"/>
  <c r="BX64" i="1" s="1"/>
  <c r="BZ64" i="1" s="1"/>
  <c r="BR64" i="1"/>
  <c r="BG61" i="1"/>
  <c r="BH61" i="1"/>
  <c r="BF62" i="1"/>
  <c r="BA63" i="1"/>
  <c r="CN63" i="1"/>
  <c r="CQ63" i="1"/>
  <c r="CJ64" i="1"/>
  <c r="CI64" i="1"/>
  <c r="AJ65" i="1"/>
  <c r="AY64" i="1"/>
  <c r="CO50" i="1"/>
  <c r="CR50" i="1"/>
  <c r="DF64" i="1"/>
  <c r="BI64" i="1"/>
  <c r="AM67" i="1"/>
  <c r="BU67" i="1" s="1"/>
  <c r="CK66" i="1"/>
  <c r="AO65" i="1"/>
  <c r="AP63" i="1"/>
  <c r="BJ63" i="1" s="1"/>
  <c r="CL62" i="1"/>
  <c r="CR38" i="1"/>
  <c r="E11" i="18" s="1"/>
  <c r="CO38" i="1"/>
  <c r="D11" i="18" s="1"/>
  <c r="M11" i="18"/>
  <c r="I11" i="18"/>
  <c r="DJ5" i="1"/>
  <c r="DJ6" i="1" s="1"/>
  <c r="DJ7" i="1" s="1"/>
  <c r="DJ8" i="1" s="1"/>
  <c r="DJ9" i="1" s="1"/>
  <c r="DJ10" i="1" s="1"/>
  <c r="DJ11" i="1" s="1"/>
  <c r="DJ12" i="1" s="1"/>
  <c r="DJ13" i="1" s="1"/>
  <c r="CC130" i="1" l="1"/>
  <c r="CE130" i="1" s="1"/>
  <c r="CF130" i="1" s="1"/>
  <c r="AQ131" i="1"/>
  <c r="CH67" i="1"/>
  <c r="CA67" i="1"/>
  <c r="BW65" i="1"/>
  <c r="BX65" i="1" s="1"/>
  <c r="BZ65" i="1" s="1"/>
  <c r="BR65" i="1"/>
  <c r="BF63" i="1"/>
  <c r="BG62" i="1"/>
  <c r="CN64" i="1"/>
  <c r="CQ64" i="1"/>
  <c r="BA64" i="1"/>
  <c r="BB64" i="1"/>
  <c r="CJ65" i="1"/>
  <c r="CI65" i="1"/>
  <c r="AJ66" i="1"/>
  <c r="AY65" i="1"/>
  <c r="AM68" i="1"/>
  <c r="BU68" i="1" s="1"/>
  <c r="CK67" i="1"/>
  <c r="BI65" i="1"/>
  <c r="DF65" i="1"/>
  <c r="AP64" i="1"/>
  <c r="BJ64" i="1" s="1"/>
  <c r="CL63" i="1"/>
  <c r="AO66" i="1"/>
  <c r="DH5" i="1"/>
  <c r="DH6" i="1" s="1"/>
  <c r="DH7" i="1" s="1"/>
  <c r="DH8" i="1" s="1"/>
  <c r="DH9" i="1" s="1"/>
  <c r="DH10" i="1" s="1"/>
  <c r="DH11" i="1" s="1"/>
  <c r="DH12" i="1" s="1"/>
  <c r="DH13" i="1" s="1"/>
  <c r="BF5" i="1"/>
  <c r="BG5" i="1" s="1"/>
  <c r="N2" i="1"/>
  <c r="Z2" i="1" s="1"/>
  <c r="CC131" i="1" l="1"/>
  <c r="CE131" i="1" s="1"/>
  <c r="CF131" i="1" s="1"/>
  <c r="AQ132" i="1"/>
  <c r="CH68" i="1"/>
  <c r="CA68" i="1"/>
  <c r="BW66" i="1"/>
  <c r="BX66" i="1" s="1"/>
  <c r="BZ66" i="1" s="1"/>
  <c r="BR66" i="1"/>
  <c r="BF64" i="1"/>
  <c r="BG63" i="1"/>
  <c r="BA65" i="1"/>
  <c r="BB65" i="1"/>
  <c r="CN65" i="1"/>
  <c r="CQ65" i="1"/>
  <c r="CJ66" i="1"/>
  <c r="CI66" i="1"/>
  <c r="AJ67" i="1"/>
  <c r="AY66" i="1"/>
  <c r="DF66" i="1"/>
  <c r="BI66" i="1"/>
  <c r="AM69" i="1"/>
  <c r="BU69" i="1" s="1"/>
  <c r="CK68" i="1"/>
  <c r="AO67" i="1"/>
  <c r="AP65" i="1"/>
  <c r="BJ65" i="1" s="1"/>
  <c r="BK64" i="1"/>
  <c r="CL64" i="1"/>
  <c r="DI38" i="1"/>
  <c r="DI14" i="1"/>
  <c r="DI3" i="1"/>
  <c r="DI2" i="1"/>
  <c r="BN64" i="1" l="1"/>
  <c r="BO64" i="1"/>
  <c r="CC132" i="1"/>
  <c r="CE132" i="1" s="1"/>
  <c r="CF132" i="1" s="1"/>
  <c r="AQ133" i="1"/>
  <c r="CH69" i="1"/>
  <c r="CA69" i="1"/>
  <c r="BW67" i="1"/>
  <c r="BX67" i="1" s="1"/>
  <c r="BZ67" i="1" s="1"/>
  <c r="BR67" i="1"/>
  <c r="BF65" i="1"/>
  <c r="BH64" i="1"/>
  <c r="BG64" i="1"/>
  <c r="BA66" i="1"/>
  <c r="BB66" i="1"/>
  <c r="CN66" i="1"/>
  <c r="CQ66" i="1"/>
  <c r="CJ67" i="1"/>
  <c r="CI67" i="1"/>
  <c r="AJ68" i="1"/>
  <c r="AY67" i="1"/>
  <c r="BB67" i="1" s="1"/>
  <c r="BI67" i="1"/>
  <c r="DF67" i="1"/>
  <c r="AM70" i="1"/>
  <c r="BU70" i="1" s="1"/>
  <c r="CK69" i="1"/>
  <c r="AO68" i="1"/>
  <c r="AP66" i="1"/>
  <c r="BJ66" i="1" s="1"/>
  <c r="CL65" i="1"/>
  <c r="BK65" i="1"/>
  <c r="DI4" i="1"/>
  <c r="DI39" i="1"/>
  <c r="BN65" i="1" l="1"/>
  <c r="BO65" i="1"/>
  <c r="CC133" i="1"/>
  <c r="AQ134" i="1"/>
  <c r="CH70" i="1"/>
  <c r="CA70" i="1"/>
  <c r="BW68" i="1"/>
  <c r="BX68" i="1" s="1"/>
  <c r="BZ68" i="1" s="1"/>
  <c r="BR68" i="1"/>
  <c r="BF66" i="1"/>
  <c r="BH65" i="1"/>
  <c r="BG65" i="1"/>
  <c r="CN67" i="1"/>
  <c r="CQ67" i="1"/>
  <c r="BA67" i="1"/>
  <c r="CJ68" i="1"/>
  <c r="CI68" i="1"/>
  <c r="AJ69" i="1"/>
  <c r="AY68" i="1"/>
  <c r="AM71" i="1"/>
  <c r="BU71" i="1" s="1"/>
  <c r="CK70" i="1"/>
  <c r="DF68" i="1"/>
  <c r="BI68" i="1"/>
  <c r="AO69" i="1"/>
  <c r="AP67" i="1"/>
  <c r="BJ67" i="1" s="1"/>
  <c r="BK66" i="1"/>
  <c r="CL66" i="1"/>
  <c r="DI40" i="1"/>
  <c r="DI5" i="1"/>
  <c r="BN66" i="1" l="1"/>
  <c r="BO66" i="1"/>
  <c r="CC134" i="1"/>
  <c r="AQ135" i="1"/>
  <c r="CE133" i="1"/>
  <c r="CF133" i="1" s="1"/>
  <c r="CD122" i="1"/>
  <c r="CH71" i="1"/>
  <c r="CA71" i="1"/>
  <c r="BW69" i="1"/>
  <c r="BX69" i="1" s="1"/>
  <c r="BZ69" i="1" s="1"/>
  <c r="BR69" i="1"/>
  <c r="BF67" i="1"/>
  <c r="BG66" i="1"/>
  <c r="BH66" i="1"/>
  <c r="CN68" i="1"/>
  <c r="CQ68" i="1"/>
  <c r="CJ69" i="1"/>
  <c r="CI69" i="1"/>
  <c r="AJ70" i="1"/>
  <c r="AY69" i="1"/>
  <c r="BB69" i="1" s="1"/>
  <c r="BA68" i="1"/>
  <c r="BB68" i="1"/>
  <c r="BI69" i="1"/>
  <c r="DF69" i="1"/>
  <c r="AM72" i="1"/>
  <c r="BU72" i="1" s="1"/>
  <c r="CK71" i="1"/>
  <c r="AO70" i="1"/>
  <c r="AP68" i="1"/>
  <c r="BJ68" i="1" s="1"/>
  <c r="CL67" i="1"/>
  <c r="BK67" i="1"/>
  <c r="DI6" i="1"/>
  <c r="DI41" i="1"/>
  <c r="BN67" i="1" l="1"/>
  <c r="BO67" i="1"/>
  <c r="CC135" i="1"/>
  <c r="CE135" i="1" s="1"/>
  <c r="CF135" i="1" s="1"/>
  <c r="AQ136" i="1"/>
  <c r="CE134" i="1"/>
  <c r="CF134" i="1" s="1"/>
  <c r="CH72" i="1"/>
  <c r="CA72" i="1"/>
  <c r="BW70" i="1"/>
  <c r="BX70" i="1" s="1"/>
  <c r="BZ70" i="1" s="1"/>
  <c r="BR70" i="1"/>
  <c r="BF68" i="1"/>
  <c r="BG67" i="1"/>
  <c r="BH67" i="1"/>
  <c r="BA69" i="1"/>
  <c r="CJ70" i="1"/>
  <c r="AJ71" i="1"/>
  <c r="CI70" i="1"/>
  <c r="AY70" i="1"/>
  <c r="BB70" i="1" s="1"/>
  <c r="CQ69" i="1"/>
  <c r="CN69" i="1"/>
  <c r="AM73" i="1"/>
  <c r="BU73" i="1" s="1"/>
  <c r="CA73" i="1" s="1"/>
  <c r="CB62" i="1" s="1"/>
  <c r="CK72" i="1"/>
  <c r="BI70" i="1"/>
  <c r="DF70" i="1"/>
  <c r="AO71" i="1"/>
  <c r="AP69" i="1"/>
  <c r="BJ69" i="1" s="1"/>
  <c r="BK68" i="1"/>
  <c r="CL68" i="1"/>
  <c r="DI42" i="1"/>
  <c r="DI7" i="1"/>
  <c r="BN68" i="1" l="1"/>
  <c r="BO68" i="1"/>
  <c r="CC136" i="1"/>
  <c r="AQ137" i="1"/>
  <c r="BW71" i="1"/>
  <c r="BX71" i="1" s="1"/>
  <c r="BZ71" i="1" s="1"/>
  <c r="BR71" i="1"/>
  <c r="BV62" i="1"/>
  <c r="BF69" i="1"/>
  <c r="BH68" i="1"/>
  <c r="BG68" i="1"/>
  <c r="CJ71" i="1"/>
  <c r="CI71" i="1"/>
  <c r="AJ72" i="1"/>
  <c r="AY71" i="1"/>
  <c r="BB71" i="1" s="1"/>
  <c r="CQ70" i="1"/>
  <c r="CN70" i="1"/>
  <c r="BA70" i="1"/>
  <c r="AM74" i="1"/>
  <c r="BU74" i="1" s="1"/>
  <c r="CK73" i="1"/>
  <c r="CZ62" i="1" s="1"/>
  <c r="DF71" i="1"/>
  <c r="BI71" i="1"/>
  <c r="AP70" i="1"/>
  <c r="BJ70" i="1" s="1"/>
  <c r="CL69" i="1"/>
  <c r="BK69" i="1"/>
  <c r="AO72" i="1"/>
  <c r="DI8" i="1"/>
  <c r="DI43" i="1"/>
  <c r="BN69" i="1" l="1"/>
  <c r="BO69" i="1"/>
  <c r="CC137" i="1"/>
  <c r="CE137" i="1" s="1"/>
  <c r="CF137" i="1" s="1"/>
  <c r="AQ138" i="1"/>
  <c r="CE136" i="1"/>
  <c r="CF136" i="1" s="1"/>
  <c r="CA74" i="1"/>
  <c r="BW72" i="1"/>
  <c r="BX72" i="1" s="1"/>
  <c r="BZ72" i="1" s="1"/>
  <c r="BR72" i="1"/>
  <c r="CG62" i="1"/>
  <c r="CH73" i="1"/>
  <c r="CH74" i="1" s="1"/>
  <c r="BF70" i="1"/>
  <c r="BH69" i="1"/>
  <c r="BG69" i="1"/>
  <c r="CJ72" i="1"/>
  <c r="AJ73" i="1"/>
  <c r="CI72" i="1"/>
  <c r="AY72" i="1"/>
  <c r="BB72" i="1" s="1"/>
  <c r="BA71" i="1"/>
  <c r="CQ71" i="1"/>
  <c r="CN71" i="1"/>
  <c r="AM75" i="1"/>
  <c r="BU75" i="1" s="1"/>
  <c r="CK74" i="1"/>
  <c r="BI72" i="1"/>
  <c r="DF72" i="1"/>
  <c r="AO73" i="1"/>
  <c r="AP71" i="1"/>
  <c r="BJ71" i="1" s="1"/>
  <c r="BK70" i="1"/>
  <c r="CL70" i="1"/>
  <c r="DI44" i="1"/>
  <c r="DI9" i="1"/>
  <c r="BN70" i="1" l="1"/>
  <c r="BO70" i="1"/>
  <c r="CC138" i="1"/>
  <c r="AQ139" i="1"/>
  <c r="CA75" i="1"/>
  <c r="BW73" i="1"/>
  <c r="BX73" i="1" s="1"/>
  <c r="BR73" i="1"/>
  <c r="BZ73" i="1"/>
  <c r="BY62" i="1"/>
  <c r="CH75" i="1"/>
  <c r="BG70" i="1"/>
  <c r="BH70" i="1"/>
  <c r="BK71" i="1"/>
  <c r="BF71" i="1"/>
  <c r="BA72" i="1"/>
  <c r="CJ73" i="1"/>
  <c r="AJ74" i="1"/>
  <c r="CI73" i="1"/>
  <c r="AY73" i="1"/>
  <c r="AZ62" i="1" s="1"/>
  <c r="CQ72" i="1"/>
  <c r="CN72" i="1"/>
  <c r="AM76" i="1"/>
  <c r="BU76" i="1" s="1"/>
  <c r="CK75" i="1"/>
  <c r="BI73" i="1"/>
  <c r="DF73" i="1"/>
  <c r="AP72" i="1"/>
  <c r="BJ72" i="1" s="1"/>
  <c r="CL71" i="1"/>
  <c r="AO74" i="1"/>
  <c r="DI10" i="1"/>
  <c r="DI45" i="1"/>
  <c r="BN71" i="1" l="1"/>
  <c r="BO71" i="1"/>
  <c r="CC139" i="1"/>
  <c r="CE139" i="1" s="1"/>
  <c r="CF139" i="1" s="1"/>
  <c r="AQ140" i="1"/>
  <c r="CE138" i="1"/>
  <c r="CF138" i="1" s="1"/>
  <c r="CA76" i="1"/>
  <c r="BW74" i="1"/>
  <c r="BX74" i="1" s="1"/>
  <c r="BR74" i="1"/>
  <c r="BZ74" i="1"/>
  <c r="CH76" i="1"/>
  <c r="BF72" i="1"/>
  <c r="BG71" i="1"/>
  <c r="BH71" i="1"/>
  <c r="BC62" i="1"/>
  <c r="BB73" i="1"/>
  <c r="CN73" i="1"/>
  <c r="CQ73" i="1"/>
  <c r="CV63" i="1"/>
  <c r="CJ74" i="1"/>
  <c r="CI74" i="1"/>
  <c r="AJ75" i="1"/>
  <c r="AY74" i="1"/>
  <c r="BB74" i="1" s="1"/>
  <c r="BA73" i="1"/>
  <c r="AM77" i="1"/>
  <c r="BU77" i="1" s="1"/>
  <c r="CK76" i="1"/>
  <c r="AO75" i="1"/>
  <c r="AP73" i="1"/>
  <c r="BJ73" i="1" s="1"/>
  <c r="BK72" i="1"/>
  <c r="CL72" i="1"/>
  <c r="DI46" i="1"/>
  <c r="DI11" i="1"/>
  <c r="BN72" i="1" l="1"/>
  <c r="BO72" i="1"/>
  <c r="CC140" i="1"/>
  <c r="CE140" i="1" s="1"/>
  <c r="CF140" i="1" s="1"/>
  <c r="AQ141" i="1"/>
  <c r="CA77" i="1"/>
  <c r="BW75" i="1"/>
  <c r="BX75" i="1" s="1"/>
  <c r="BZ75" i="1" s="1"/>
  <c r="BR75" i="1"/>
  <c r="CH77" i="1"/>
  <c r="BK73" i="1"/>
  <c r="BF73" i="1"/>
  <c r="BG72" i="1"/>
  <c r="BH72" i="1"/>
  <c r="BA74" i="1"/>
  <c r="CW62" i="1"/>
  <c r="CY62" i="1"/>
  <c r="CJ75" i="1"/>
  <c r="AJ76" i="1"/>
  <c r="CI75" i="1"/>
  <c r="AY75" i="1"/>
  <c r="BB75" i="1" s="1"/>
  <c r="CN74" i="1"/>
  <c r="CQ74" i="1"/>
  <c r="AM78" i="1"/>
  <c r="BU78" i="1" s="1"/>
  <c r="CA78" i="1" s="1"/>
  <c r="CK77" i="1"/>
  <c r="AO76" i="1"/>
  <c r="AP74" i="1"/>
  <c r="BJ74" i="1" s="1"/>
  <c r="CL73" i="1"/>
  <c r="DA62" i="1" s="1"/>
  <c r="DI47" i="1"/>
  <c r="BN73" i="1" l="1"/>
  <c r="BO73" i="1"/>
  <c r="CC141" i="1"/>
  <c r="CE141" i="1" s="1"/>
  <c r="CF141" i="1" s="1"/>
  <c r="AQ142" i="1"/>
  <c r="BW76" i="1"/>
  <c r="BX76" i="1" s="1"/>
  <c r="BZ76" i="1" s="1"/>
  <c r="BR76" i="1"/>
  <c r="CH78" i="1"/>
  <c r="BF74" i="1"/>
  <c r="BH73" i="1"/>
  <c r="BG73" i="1"/>
  <c r="CJ76" i="1"/>
  <c r="AJ77" i="1"/>
  <c r="CI76" i="1"/>
  <c r="AY76" i="1"/>
  <c r="BB76" i="1" s="1"/>
  <c r="BA75" i="1"/>
  <c r="CQ75" i="1"/>
  <c r="CN75" i="1"/>
  <c r="CO62" i="1"/>
  <c r="CR62" i="1"/>
  <c r="AM79" i="1"/>
  <c r="BU79" i="1" s="1"/>
  <c r="CK78" i="1"/>
  <c r="BI76" i="1"/>
  <c r="DF76" i="1"/>
  <c r="AP75" i="1"/>
  <c r="BJ75" i="1" s="1"/>
  <c r="CL74" i="1"/>
  <c r="AO77" i="1"/>
  <c r="DI37" i="1"/>
  <c r="DI25" i="1"/>
  <c r="DI49" i="1"/>
  <c r="DI13" i="1"/>
  <c r="DQ15" i="1"/>
  <c r="DQ26" i="1"/>
  <c r="DI26" i="1" s="1"/>
  <c r="CC142" i="1" l="1"/>
  <c r="CE142" i="1" s="1"/>
  <c r="CF142" i="1" s="1"/>
  <c r="AQ143" i="1"/>
  <c r="CA79" i="1"/>
  <c r="BW77" i="1"/>
  <c r="BX77" i="1" s="1"/>
  <c r="BZ77" i="1" s="1"/>
  <c r="BR77" i="1"/>
  <c r="CH79" i="1"/>
  <c r="BF75" i="1"/>
  <c r="BG74" i="1"/>
  <c r="DI15" i="1"/>
  <c r="CQ76" i="1"/>
  <c r="CN76" i="1"/>
  <c r="CJ77" i="1"/>
  <c r="AJ78" i="1"/>
  <c r="CI77" i="1"/>
  <c r="AY77" i="1"/>
  <c r="BB77" i="1" s="1"/>
  <c r="BA76" i="1"/>
  <c r="DF77" i="1"/>
  <c r="BI77" i="1"/>
  <c r="AM80" i="1"/>
  <c r="BU80" i="1" s="1"/>
  <c r="CK79" i="1"/>
  <c r="AO78" i="1"/>
  <c r="AP76" i="1"/>
  <c r="BJ76" i="1" s="1"/>
  <c r="CL75" i="1"/>
  <c r="DQ16" i="1"/>
  <c r="DQ27" i="1"/>
  <c r="CC143" i="1" l="1"/>
  <c r="CE143" i="1" s="1"/>
  <c r="CF143" i="1" s="1"/>
  <c r="AQ144" i="1"/>
  <c r="CH80" i="1"/>
  <c r="CA80" i="1"/>
  <c r="BW78" i="1"/>
  <c r="BX78" i="1" s="1"/>
  <c r="BZ78" i="1" s="1"/>
  <c r="BR78" i="1"/>
  <c r="BF76" i="1"/>
  <c r="BG75" i="1"/>
  <c r="DR24" i="1"/>
  <c r="DR36" i="1" s="1"/>
  <c r="DR48" i="1" s="1"/>
  <c r="DQ12" i="1"/>
  <c r="DI12" i="1" s="1"/>
  <c r="CN77" i="1"/>
  <c r="CQ77" i="1"/>
  <c r="CJ78" i="1"/>
  <c r="CI78" i="1"/>
  <c r="AJ79" i="1"/>
  <c r="AY78" i="1"/>
  <c r="BB78" i="1" s="1"/>
  <c r="BA77" i="1"/>
  <c r="BI78" i="1"/>
  <c r="DF78" i="1"/>
  <c r="AM81" i="1"/>
  <c r="BU81" i="1" s="1"/>
  <c r="CK80" i="1"/>
  <c r="AO79" i="1"/>
  <c r="AP77" i="1"/>
  <c r="BJ77" i="1" s="1"/>
  <c r="BK76" i="1"/>
  <c r="CL76" i="1"/>
  <c r="DQ17" i="1"/>
  <c r="DI16" i="1"/>
  <c r="DQ28" i="1"/>
  <c r="DI27" i="1"/>
  <c r="BN76" i="1" l="1"/>
  <c r="BO76" i="1"/>
  <c r="CC144" i="1"/>
  <c r="CE144" i="1" s="1"/>
  <c r="CF144" i="1" s="1"/>
  <c r="AQ145" i="1"/>
  <c r="CH81" i="1"/>
  <c r="CA81" i="1"/>
  <c r="BW79" i="1"/>
  <c r="BX79" i="1" s="1"/>
  <c r="BZ79" i="1" s="1"/>
  <c r="BR79" i="1"/>
  <c r="BF77" i="1"/>
  <c r="BG76" i="1"/>
  <c r="BH76" i="1"/>
  <c r="DR60" i="1"/>
  <c r="DQ48" i="1"/>
  <c r="DI48" i="1" s="1"/>
  <c r="CJ79" i="1"/>
  <c r="CI79" i="1"/>
  <c r="AJ80" i="1"/>
  <c r="AY79" i="1"/>
  <c r="BB79" i="1" s="1"/>
  <c r="CN78" i="1"/>
  <c r="CQ78" i="1"/>
  <c r="BA78" i="1"/>
  <c r="AM82" i="1"/>
  <c r="BU82" i="1" s="1"/>
  <c r="CK81" i="1"/>
  <c r="DF79" i="1"/>
  <c r="BI79" i="1"/>
  <c r="AP78" i="1"/>
  <c r="BJ78" i="1" s="1"/>
  <c r="BK77" i="1"/>
  <c r="CL77" i="1"/>
  <c r="AO80" i="1"/>
  <c r="DI17" i="1"/>
  <c r="DQ18" i="1"/>
  <c r="DI28" i="1"/>
  <c r="DQ29" i="1"/>
  <c r="BN77" i="1" l="1"/>
  <c r="BO77" i="1"/>
  <c r="CC145" i="1"/>
  <c r="AQ146" i="1"/>
  <c r="CH82" i="1"/>
  <c r="CA82" i="1"/>
  <c r="BW80" i="1"/>
  <c r="BX80" i="1" s="1"/>
  <c r="BZ80" i="1" s="1"/>
  <c r="BR80" i="1"/>
  <c r="BF78" i="1"/>
  <c r="BH77" i="1"/>
  <c r="BG77" i="1"/>
  <c r="DR72" i="1"/>
  <c r="DQ60" i="1"/>
  <c r="DI60" i="1" s="1"/>
  <c r="BA79" i="1"/>
  <c r="CJ80" i="1"/>
  <c r="CI80" i="1"/>
  <c r="AJ81" i="1"/>
  <c r="AY80" i="1"/>
  <c r="BB80" i="1" s="1"/>
  <c r="CQ79" i="1"/>
  <c r="CN79" i="1"/>
  <c r="AM83" i="1"/>
  <c r="BU83" i="1" s="1"/>
  <c r="CK82" i="1"/>
  <c r="BI80" i="1"/>
  <c r="DF80" i="1"/>
  <c r="AP79" i="1"/>
  <c r="BJ79" i="1" s="1"/>
  <c r="BK78" i="1"/>
  <c r="CL78" i="1"/>
  <c r="AO81" i="1"/>
  <c r="DQ19" i="1"/>
  <c r="DI18" i="1"/>
  <c r="DI29" i="1"/>
  <c r="DQ30" i="1"/>
  <c r="BN78" i="1" l="1"/>
  <c r="BO78" i="1"/>
  <c r="CC146" i="1"/>
  <c r="AQ147" i="1"/>
  <c r="CE145" i="1"/>
  <c r="CF145" i="1" s="1"/>
  <c r="CD134" i="1"/>
  <c r="CH83" i="1"/>
  <c r="CA83" i="1"/>
  <c r="BW81" i="1"/>
  <c r="BX81" i="1" s="1"/>
  <c r="BZ81" i="1" s="1"/>
  <c r="BR81" i="1"/>
  <c r="BF79" i="1"/>
  <c r="BG78" i="1"/>
  <c r="BH78" i="1"/>
  <c r="DR84" i="1"/>
  <c r="DQ72" i="1"/>
  <c r="DI72" i="1" s="1"/>
  <c r="CJ81" i="1"/>
  <c r="CI81" i="1"/>
  <c r="AJ82" i="1"/>
  <c r="AY81" i="1"/>
  <c r="BB81" i="1" s="1"/>
  <c r="CQ80" i="1"/>
  <c r="CN80" i="1"/>
  <c r="BA80" i="1"/>
  <c r="BI81" i="1"/>
  <c r="DF81" i="1"/>
  <c r="AM84" i="1"/>
  <c r="BU84" i="1" s="1"/>
  <c r="CK83" i="1"/>
  <c r="AO82" i="1"/>
  <c r="AP80" i="1"/>
  <c r="BJ80" i="1" s="1"/>
  <c r="BK79" i="1"/>
  <c r="CL79" i="1"/>
  <c r="DI19" i="1"/>
  <c r="DQ20" i="1"/>
  <c r="DI30" i="1"/>
  <c r="DQ31" i="1"/>
  <c r="BN79" i="1" l="1"/>
  <c r="BO79" i="1"/>
  <c r="CC147" i="1"/>
  <c r="CE147" i="1" s="1"/>
  <c r="CF147" i="1" s="1"/>
  <c r="AQ148" i="1"/>
  <c r="CE146" i="1"/>
  <c r="CF146" i="1" s="1"/>
  <c r="CH84" i="1"/>
  <c r="CA84" i="1"/>
  <c r="BW82" i="1"/>
  <c r="BX82" i="1" s="1"/>
  <c r="BZ82" i="1" s="1"/>
  <c r="BR82" i="1"/>
  <c r="BF80" i="1"/>
  <c r="BH79" i="1"/>
  <c r="BG79" i="1"/>
  <c r="DR96" i="1"/>
  <c r="DQ84" i="1"/>
  <c r="DI84" i="1" s="1"/>
  <c r="CJ82" i="1"/>
  <c r="CI82" i="1"/>
  <c r="AJ83" i="1"/>
  <c r="AY82" i="1"/>
  <c r="BB82" i="1" s="1"/>
  <c r="CQ81" i="1"/>
  <c r="CN81" i="1"/>
  <c r="BA81" i="1"/>
  <c r="BI82" i="1"/>
  <c r="DF82" i="1"/>
  <c r="AM85" i="1"/>
  <c r="BU85" i="1" s="1"/>
  <c r="CA85" i="1" s="1"/>
  <c r="CB74" i="1" s="1"/>
  <c r="CK84" i="1"/>
  <c r="AP81" i="1"/>
  <c r="BJ81" i="1" s="1"/>
  <c r="BK80" i="1"/>
  <c r="CL80" i="1"/>
  <c r="AO83" i="1"/>
  <c r="DI20" i="1"/>
  <c r="DQ21" i="1"/>
  <c r="DI31" i="1"/>
  <c r="DQ32" i="1"/>
  <c r="BN80" i="1" l="1"/>
  <c r="BO80" i="1"/>
  <c r="CC148" i="1"/>
  <c r="AQ149" i="1"/>
  <c r="BW83" i="1"/>
  <c r="BX83" i="1" s="1"/>
  <c r="BZ83" i="1" s="1"/>
  <c r="BR83" i="1"/>
  <c r="BV74" i="1"/>
  <c r="BF81" i="1"/>
  <c r="BG80" i="1"/>
  <c r="BH80" i="1"/>
  <c r="DR108" i="1"/>
  <c r="DQ96" i="1"/>
  <c r="DI96" i="1" s="1"/>
  <c r="CJ83" i="1"/>
  <c r="CI83" i="1"/>
  <c r="AJ84" i="1"/>
  <c r="AY83" i="1"/>
  <c r="BB83" i="1" s="1"/>
  <c r="CQ82" i="1"/>
  <c r="CN82" i="1"/>
  <c r="BA82" i="1"/>
  <c r="AM86" i="1"/>
  <c r="BU86" i="1" s="1"/>
  <c r="CK85" i="1"/>
  <c r="CZ74" i="1" s="1"/>
  <c r="BI83" i="1"/>
  <c r="DF83" i="1"/>
  <c r="AO84" i="1"/>
  <c r="AP82" i="1"/>
  <c r="BJ82" i="1" s="1"/>
  <c r="CL81" i="1"/>
  <c r="BK81" i="1"/>
  <c r="DI21" i="1"/>
  <c r="DQ22" i="1"/>
  <c r="DI32" i="1"/>
  <c r="DQ33" i="1"/>
  <c r="BN81" i="1" l="1"/>
  <c r="BO81" i="1"/>
  <c r="CC149" i="1"/>
  <c r="CE149" i="1" s="1"/>
  <c r="CF149" i="1" s="1"/>
  <c r="AQ150" i="1"/>
  <c r="CE148" i="1"/>
  <c r="CF148" i="1" s="1"/>
  <c r="CA86" i="1"/>
  <c r="BW84" i="1"/>
  <c r="BX84" i="1" s="1"/>
  <c r="BZ84" i="1" s="1"/>
  <c r="BR84" i="1"/>
  <c r="CG74" i="1"/>
  <c r="CH85" i="1"/>
  <c r="CH86" i="1" s="1"/>
  <c r="BK82" i="1"/>
  <c r="BF82" i="1"/>
  <c r="BG81" i="1"/>
  <c r="BH81" i="1"/>
  <c r="DR120" i="1"/>
  <c r="DQ108" i="1"/>
  <c r="DI108" i="1" s="1"/>
  <c r="CN83" i="1"/>
  <c r="CQ83" i="1"/>
  <c r="CJ84" i="1"/>
  <c r="AJ85" i="1"/>
  <c r="CI84" i="1"/>
  <c r="AY84" i="1"/>
  <c r="BB84" i="1" s="1"/>
  <c r="BA83" i="1"/>
  <c r="AM87" i="1"/>
  <c r="BU87" i="1" s="1"/>
  <c r="CK86" i="1"/>
  <c r="DF84" i="1"/>
  <c r="BI84" i="1"/>
  <c r="AO85" i="1"/>
  <c r="AP83" i="1"/>
  <c r="BJ83" i="1" s="1"/>
  <c r="CL82" i="1"/>
  <c r="DQ23" i="1"/>
  <c r="DI22" i="1"/>
  <c r="DI33" i="1"/>
  <c r="DQ34" i="1"/>
  <c r="BN82" i="1" l="1"/>
  <c r="BO82" i="1"/>
  <c r="CC150" i="1"/>
  <c r="CE150" i="1" s="1"/>
  <c r="CF150" i="1" s="1"/>
  <c r="AQ151" i="1"/>
  <c r="CA87" i="1"/>
  <c r="BW85" i="1"/>
  <c r="BX85" i="1" s="1"/>
  <c r="BR85" i="1"/>
  <c r="BZ85" i="1"/>
  <c r="BY74" i="1"/>
  <c r="CH87" i="1"/>
  <c r="BF83" i="1"/>
  <c r="BG82" i="1"/>
  <c r="BH82" i="1"/>
  <c r="DR132" i="1"/>
  <c r="DQ120" i="1"/>
  <c r="DI120" i="1" s="1"/>
  <c r="BA84" i="1"/>
  <c r="CJ85" i="1"/>
  <c r="AJ86" i="1"/>
  <c r="CI85" i="1"/>
  <c r="AY85" i="1"/>
  <c r="CQ84" i="1"/>
  <c r="CN84" i="1"/>
  <c r="BI85" i="1"/>
  <c r="DF85" i="1"/>
  <c r="AM88" i="1"/>
  <c r="BU88" i="1" s="1"/>
  <c r="CK87" i="1"/>
  <c r="AP84" i="1"/>
  <c r="BJ84" i="1" s="1"/>
  <c r="CL83" i="1"/>
  <c r="BK83" i="1"/>
  <c r="AO86" i="1"/>
  <c r="DI23" i="1"/>
  <c r="DQ24" i="1"/>
  <c r="DI24" i="1" s="1"/>
  <c r="DI34" i="1"/>
  <c r="DQ35" i="1"/>
  <c r="BN83" i="1" l="1"/>
  <c r="BO83" i="1"/>
  <c r="CC151" i="1"/>
  <c r="CE151" i="1" s="1"/>
  <c r="CF151" i="1" s="1"/>
  <c r="AQ152" i="1"/>
  <c r="CH88" i="1"/>
  <c r="CA88" i="1"/>
  <c r="BW86" i="1"/>
  <c r="BX86" i="1" s="1"/>
  <c r="BR86" i="1"/>
  <c r="BZ86" i="1"/>
  <c r="BG83" i="1"/>
  <c r="BH83" i="1"/>
  <c r="BK84" i="1"/>
  <c r="BF84" i="1"/>
  <c r="DR144" i="1"/>
  <c r="DQ132" i="1"/>
  <c r="DI132" i="1" s="1"/>
  <c r="BB85" i="1"/>
  <c r="AZ74" i="1"/>
  <c r="BC74" i="1"/>
  <c r="BA85" i="1"/>
  <c r="CJ86" i="1"/>
  <c r="CI86" i="1"/>
  <c r="AJ87" i="1"/>
  <c r="AY86" i="1"/>
  <c r="BB86" i="1" s="1"/>
  <c r="CN85" i="1"/>
  <c r="CQ85" i="1"/>
  <c r="CV75" i="1"/>
  <c r="AM89" i="1"/>
  <c r="BU89" i="1" s="1"/>
  <c r="CK88" i="1"/>
  <c r="AP85" i="1"/>
  <c r="BJ85" i="1" s="1"/>
  <c r="CL84" i="1"/>
  <c r="AO87" i="1"/>
  <c r="DQ36" i="1"/>
  <c r="DI36" i="1" s="1"/>
  <c r="DI35" i="1"/>
  <c r="BN84" i="1" l="1"/>
  <c r="BO84" i="1"/>
  <c r="CC152" i="1"/>
  <c r="CE152" i="1" s="1"/>
  <c r="CF152" i="1" s="1"/>
  <c r="AQ153" i="1"/>
  <c r="CH89" i="1"/>
  <c r="CA89" i="1"/>
  <c r="BW87" i="1"/>
  <c r="BX87" i="1" s="1"/>
  <c r="BZ87" i="1" s="1"/>
  <c r="BR87" i="1"/>
  <c r="BG84" i="1"/>
  <c r="BH84" i="1"/>
  <c r="BK85" i="1"/>
  <c r="BF85" i="1"/>
  <c r="BA86" i="1"/>
  <c r="DR156" i="1"/>
  <c r="DQ144" i="1"/>
  <c r="DI144" i="1" s="1"/>
  <c r="CQ86" i="1"/>
  <c r="CN86" i="1"/>
  <c r="CW74" i="1"/>
  <c r="CY74" i="1"/>
  <c r="CJ87" i="1"/>
  <c r="CI87" i="1"/>
  <c r="AJ88" i="1"/>
  <c r="AY87" i="1"/>
  <c r="AM90" i="1"/>
  <c r="BU90" i="1" s="1"/>
  <c r="CA90" i="1" s="1"/>
  <c r="CK89" i="1"/>
  <c r="AP86" i="1"/>
  <c r="BJ86" i="1" s="1"/>
  <c r="CL85" i="1"/>
  <c r="DA74" i="1" s="1"/>
  <c r="AO88" i="1"/>
  <c r="BN85" i="1" l="1"/>
  <c r="BO85" i="1"/>
  <c r="CC153" i="1"/>
  <c r="CE153" i="1" s="1"/>
  <c r="CF153" i="1" s="1"/>
  <c r="AQ154" i="1"/>
  <c r="BW88" i="1"/>
  <c r="BX88" i="1" s="1"/>
  <c r="BZ88" i="1" s="1"/>
  <c r="BR88" i="1"/>
  <c r="CH90" i="1"/>
  <c r="BF86" i="1"/>
  <c r="BG85" i="1"/>
  <c r="BH85" i="1"/>
  <c r="DR168" i="1"/>
  <c r="DQ156" i="1"/>
  <c r="DI156" i="1" s="1"/>
  <c r="BA87" i="1"/>
  <c r="BB87" i="1"/>
  <c r="CQ87" i="1"/>
  <c r="CN87" i="1"/>
  <c r="CO74" i="1"/>
  <c r="CR74" i="1"/>
  <c r="CJ88" i="1"/>
  <c r="AJ89" i="1"/>
  <c r="CI88" i="1"/>
  <c r="AY88" i="1"/>
  <c r="BB88" i="1" s="1"/>
  <c r="BI88" i="1"/>
  <c r="DF88" i="1"/>
  <c r="AM91" i="1"/>
  <c r="BU91" i="1" s="1"/>
  <c r="CK90" i="1"/>
  <c r="AP87" i="1"/>
  <c r="BJ87" i="1" s="1"/>
  <c r="CL86" i="1"/>
  <c r="AO89" i="1"/>
  <c r="CC154" i="1" l="1"/>
  <c r="CE154" i="1" s="1"/>
  <c r="CF154" i="1" s="1"/>
  <c r="AQ155" i="1"/>
  <c r="CA91" i="1"/>
  <c r="BW89" i="1"/>
  <c r="BX89" i="1" s="1"/>
  <c r="BZ89" i="1" s="1"/>
  <c r="BR89" i="1"/>
  <c r="CH91" i="1"/>
  <c r="BF87" i="1"/>
  <c r="BG86" i="1"/>
  <c r="DR180" i="1"/>
  <c r="DQ168" i="1"/>
  <c r="DI168" i="1" s="1"/>
  <c r="BA88" i="1"/>
  <c r="CJ89" i="1"/>
  <c r="CI89" i="1"/>
  <c r="AJ90" i="1"/>
  <c r="AY89" i="1"/>
  <c r="BB89" i="1" s="1"/>
  <c r="CN88" i="1"/>
  <c r="CQ88" i="1"/>
  <c r="AM92" i="1"/>
  <c r="BU92" i="1" s="1"/>
  <c r="CK91" i="1"/>
  <c r="BI89" i="1"/>
  <c r="DF89" i="1"/>
  <c r="AO90" i="1"/>
  <c r="AP88" i="1"/>
  <c r="BJ88" i="1" s="1"/>
  <c r="CL87" i="1"/>
  <c r="CC155" i="1" l="1"/>
  <c r="CE155" i="1" s="1"/>
  <c r="CF155" i="1" s="1"/>
  <c r="AQ156" i="1"/>
  <c r="CA92" i="1"/>
  <c r="BW90" i="1"/>
  <c r="BX90" i="1" s="1"/>
  <c r="BZ90" i="1" s="1"/>
  <c r="BR90" i="1"/>
  <c r="CH92" i="1"/>
  <c r="BF88" i="1"/>
  <c r="BG87" i="1"/>
  <c r="DR192" i="1"/>
  <c r="DR204" i="1" s="1"/>
  <c r="DR216" i="1" s="1"/>
  <c r="DQ180" i="1"/>
  <c r="DI180" i="1" s="1"/>
  <c r="CQ89" i="1"/>
  <c r="CN89" i="1"/>
  <c r="CJ90" i="1"/>
  <c r="CI90" i="1"/>
  <c r="AJ91" i="1"/>
  <c r="AY90" i="1"/>
  <c r="BB90" i="1" s="1"/>
  <c r="BA89" i="1"/>
  <c r="AM93" i="1"/>
  <c r="BU93" i="1" s="1"/>
  <c r="CK92" i="1"/>
  <c r="BI90" i="1"/>
  <c r="DF90" i="1"/>
  <c r="AP89" i="1"/>
  <c r="BJ89" i="1" s="1"/>
  <c r="CL88" i="1"/>
  <c r="BK88" i="1"/>
  <c r="AO91" i="1"/>
  <c r="BN88" i="1" l="1"/>
  <c r="BO88" i="1"/>
  <c r="CC156" i="1"/>
  <c r="CE156" i="1" s="1"/>
  <c r="CF156" i="1" s="1"/>
  <c r="AQ157" i="1"/>
  <c r="CA93" i="1"/>
  <c r="BW91" i="1"/>
  <c r="BX91" i="1" s="1"/>
  <c r="BZ91" i="1" s="1"/>
  <c r="BR91" i="1"/>
  <c r="CH93" i="1"/>
  <c r="BK89" i="1"/>
  <c r="BF89" i="1"/>
  <c r="BG88" i="1"/>
  <c r="BH88" i="1"/>
  <c r="DR228" i="1"/>
  <c r="DQ216" i="1"/>
  <c r="DI216" i="1" s="1"/>
  <c r="CQ90" i="1"/>
  <c r="CN90" i="1"/>
  <c r="CJ91" i="1"/>
  <c r="CI91" i="1"/>
  <c r="AJ92" i="1"/>
  <c r="AY91" i="1"/>
  <c r="BB91" i="1" s="1"/>
  <c r="BA90" i="1"/>
  <c r="AM94" i="1"/>
  <c r="BU94" i="1" s="1"/>
  <c r="CK93" i="1"/>
  <c r="BI91" i="1"/>
  <c r="DF91" i="1"/>
  <c r="AO92" i="1"/>
  <c r="AP90" i="1"/>
  <c r="BJ90" i="1" s="1"/>
  <c r="CL89" i="1"/>
  <c r="BN89" i="1" l="1"/>
  <c r="BO89" i="1"/>
  <c r="CC157" i="1"/>
  <c r="AQ158" i="1"/>
  <c r="CA94" i="1"/>
  <c r="BW92" i="1"/>
  <c r="BX92" i="1" s="1"/>
  <c r="BZ92" i="1" s="1"/>
  <c r="BR92" i="1"/>
  <c r="CH94" i="1"/>
  <c r="BG89" i="1"/>
  <c r="BH89" i="1"/>
  <c r="BK90" i="1"/>
  <c r="BF90" i="1"/>
  <c r="DR240" i="1"/>
  <c r="DQ228" i="1"/>
  <c r="DI228" i="1" s="1"/>
  <c r="CJ92" i="1"/>
  <c r="CI92" i="1"/>
  <c r="AJ93" i="1"/>
  <c r="AY92" i="1"/>
  <c r="BB92" i="1" s="1"/>
  <c r="CN91" i="1"/>
  <c r="CQ91" i="1"/>
  <c r="BA91" i="1"/>
  <c r="DF92" i="1"/>
  <c r="BI92" i="1"/>
  <c r="AM95" i="1"/>
  <c r="BU95" i="1" s="1"/>
  <c r="CK94" i="1"/>
  <c r="AP91" i="1"/>
  <c r="BJ91" i="1" s="1"/>
  <c r="CL90" i="1"/>
  <c r="AO93" i="1"/>
  <c r="BN90" i="1" l="1"/>
  <c r="BO90" i="1"/>
  <c r="CC158" i="1"/>
  <c r="AQ159" i="1"/>
  <c r="CE157" i="1"/>
  <c r="CF157" i="1" s="1"/>
  <c r="CD146" i="1"/>
  <c r="CA95" i="1"/>
  <c r="BW93" i="1"/>
  <c r="BX93" i="1" s="1"/>
  <c r="BZ93" i="1" s="1"/>
  <c r="BR93" i="1"/>
  <c r="CH95" i="1"/>
  <c r="BF91" i="1"/>
  <c r="BH90" i="1"/>
  <c r="BG90" i="1"/>
  <c r="DR252" i="1"/>
  <c r="DQ240" i="1"/>
  <c r="DI240" i="1" s="1"/>
  <c r="CJ93" i="1"/>
  <c r="CI93" i="1"/>
  <c r="AJ94" i="1"/>
  <c r="AY93" i="1"/>
  <c r="BB93" i="1" s="1"/>
  <c r="BA92" i="1"/>
  <c r="CN92" i="1"/>
  <c r="CQ92" i="1"/>
  <c r="BI93" i="1"/>
  <c r="DF93" i="1"/>
  <c r="AM96" i="1"/>
  <c r="BU96" i="1" s="1"/>
  <c r="CK95" i="1"/>
  <c r="AO94" i="1"/>
  <c r="AP92" i="1"/>
  <c r="BJ92" i="1" s="1"/>
  <c r="CL91" i="1"/>
  <c r="BK91" i="1"/>
  <c r="BN91" i="1" l="1"/>
  <c r="BO91" i="1"/>
  <c r="CC159" i="1"/>
  <c r="CE159" i="1" s="1"/>
  <c r="CF159" i="1" s="1"/>
  <c r="AQ160" i="1"/>
  <c r="CE158" i="1"/>
  <c r="CF158" i="1" s="1"/>
  <c r="CA96" i="1"/>
  <c r="BW94" i="1"/>
  <c r="BX94" i="1" s="1"/>
  <c r="BZ94" i="1" s="1"/>
  <c r="BR94" i="1"/>
  <c r="CH96" i="1"/>
  <c r="BK92" i="1"/>
  <c r="BF92" i="1"/>
  <c r="BG91" i="1"/>
  <c r="BH91" i="1"/>
  <c r="BA93" i="1"/>
  <c r="DR264" i="1"/>
  <c r="DQ252" i="1"/>
  <c r="DI252" i="1" s="1"/>
  <c r="CJ94" i="1"/>
  <c r="AJ95" i="1"/>
  <c r="CI94" i="1"/>
  <c r="AY94" i="1"/>
  <c r="CQ93" i="1"/>
  <c r="CN93" i="1"/>
  <c r="AM97" i="1"/>
  <c r="BU97" i="1" s="1"/>
  <c r="CA97" i="1" s="1"/>
  <c r="CB86" i="1" s="1"/>
  <c r="CK96" i="1"/>
  <c r="DF94" i="1"/>
  <c r="BI94" i="1"/>
  <c r="AO95" i="1"/>
  <c r="AP93" i="1"/>
  <c r="BJ93" i="1" s="1"/>
  <c r="CL92" i="1"/>
  <c r="BN92" i="1" l="1"/>
  <c r="BO92" i="1"/>
  <c r="CC160" i="1"/>
  <c r="AQ161" i="1"/>
  <c r="BW95" i="1"/>
  <c r="BX95" i="1" s="1"/>
  <c r="BZ95" i="1" s="1"/>
  <c r="BR95" i="1"/>
  <c r="CG86" i="1"/>
  <c r="BV86" i="1"/>
  <c r="BF93" i="1"/>
  <c r="BH92" i="1"/>
  <c r="BG92" i="1"/>
  <c r="DR276" i="1"/>
  <c r="DQ264" i="1"/>
  <c r="DI264" i="1" s="1"/>
  <c r="BB94" i="1"/>
  <c r="BA94" i="1"/>
  <c r="CJ95" i="1"/>
  <c r="AJ96" i="1"/>
  <c r="CI95" i="1"/>
  <c r="AY95" i="1"/>
  <c r="BB95" i="1" s="1"/>
  <c r="CQ94" i="1"/>
  <c r="CN94" i="1"/>
  <c r="AM98" i="1"/>
  <c r="BU98" i="1" s="1"/>
  <c r="CK97" i="1"/>
  <c r="CZ86" i="1" s="1"/>
  <c r="BI95" i="1"/>
  <c r="DF95" i="1"/>
  <c r="AO96" i="1"/>
  <c r="AP94" i="1"/>
  <c r="BJ94" i="1" s="1"/>
  <c r="CL93" i="1"/>
  <c r="BK93" i="1"/>
  <c r="DQ183" i="1"/>
  <c r="DQ184" i="1" s="1"/>
  <c r="DQ194" i="1"/>
  <c r="DI194" i="1" s="1"/>
  <c r="BN93" i="1" l="1"/>
  <c r="BO93" i="1"/>
  <c r="CC161" i="1"/>
  <c r="CE161" i="1" s="1"/>
  <c r="CF161" i="1" s="1"/>
  <c r="AQ162" i="1"/>
  <c r="CE160" i="1"/>
  <c r="CF160" i="1" s="1"/>
  <c r="CA98" i="1"/>
  <c r="BW96" i="1"/>
  <c r="BX96" i="1" s="1"/>
  <c r="BZ96" i="1" s="1"/>
  <c r="BR96" i="1"/>
  <c r="CH97" i="1"/>
  <c r="CH98" i="1" s="1"/>
  <c r="BG93" i="1"/>
  <c r="BH93" i="1"/>
  <c r="BK94" i="1"/>
  <c r="BF94" i="1"/>
  <c r="DR288" i="1"/>
  <c r="DQ276" i="1"/>
  <c r="DI276" i="1" s="1"/>
  <c r="DI183" i="1"/>
  <c r="CQ95" i="1"/>
  <c r="CN95" i="1"/>
  <c r="CJ96" i="1"/>
  <c r="CI96" i="1"/>
  <c r="AJ97" i="1"/>
  <c r="AY96" i="1"/>
  <c r="BB96" i="1" s="1"/>
  <c r="BA95" i="1"/>
  <c r="DQ195" i="1"/>
  <c r="DQ196" i="1" s="1"/>
  <c r="DQ197" i="1" s="1"/>
  <c r="AM99" i="1"/>
  <c r="BU99" i="1" s="1"/>
  <c r="CK98" i="1"/>
  <c r="BI96" i="1"/>
  <c r="DF96" i="1"/>
  <c r="AO97" i="1"/>
  <c r="AP95" i="1"/>
  <c r="BJ95" i="1" s="1"/>
  <c r="CL94" i="1"/>
  <c r="DQ185" i="1"/>
  <c r="DI184" i="1"/>
  <c r="BN94" i="1" l="1"/>
  <c r="BO94" i="1"/>
  <c r="CC162" i="1"/>
  <c r="AQ163" i="1"/>
  <c r="CA99" i="1"/>
  <c r="BW97" i="1"/>
  <c r="BX97" i="1" s="1"/>
  <c r="BR97" i="1"/>
  <c r="BZ97" i="1"/>
  <c r="BY86" i="1"/>
  <c r="CH99" i="1"/>
  <c r="BG94" i="1"/>
  <c r="BH94" i="1"/>
  <c r="BK95" i="1"/>
  <c r="BF95" i="1"/>
  <c r="DI195" i="1"/>
  <c r="DR300" i="1"/>
  <c r="DQ300" i="1" s="1"/>
  <c r="DI300" i="1" s="1"/>
  <c r="DQ288" i="1"/>
  <c r="DI288" i="1" s="1"/>
  <c r="BA96" i="1"/>
  <c r="DQ198" i="1"/>
  <c r="DQ199" i="1" s="1"/>
  <c r="DI197" i="1"/>
  <c r="CN96" i="1"/>
  <c r="CQ96" i="1"/>
  <c r="CJ97" i="1"/>
  <c r="AJ98" i="1"/>
  <c r="CI97" i="1"/>
  <c r="AY97" i="1"/>
  <c r="DI196" i="1"/>
  <c r="BI97" i="1"/>
  <c r="DF97" i="1"/>
  <c r="AM100" i="1"/>
  <c r="BU100" i="1" s="1"/>
  <c r="CK99" i="1"/>
  <c r="AP96" i="1"/>
  <c r="BJ96" i="1" s="1"/>
  <c r="CL95" i="1"/>
  <c r="AO98" i="1"/>
  <c r="DI185" i="1"/>
  <c r="DQ186" i="1"/>
  <c r="BN95" i="1" l="1"/>
  <c r="BO95" i="1"/>
  <c r="CC163" i="1"/>
  <c r="CE163" i="1" s="1"/>
  <c r="CF163" i="1" s="1"/>
  <c r="AQ164" i="1"/>
  <c r="CE162" i="1"/>
  <c r="CF162" i="1" s="1"/>
  <c r="CA100" i="1"/>
  <c r="BW98" i="1"/>
  <c r="BX98" i="1" s="1"/>
  <c r="BR98" i="1"/>
  <c r="BZ98" i="1"/>
  <c r="CH100" i="1"/>
  <c r="BG95" i="1"/>
  <c r="BH95" i="1"/>
  <c r="BK96" i="1"/>
  <c r="BF96" i="1"/>
  <c r="DI198" i="1"/>
  <c r="CN97" i="1"/>
  <c r="CQ97" i="1"/>
  <c r="CV87" i="1"/>
  <c r="CJ98" i="1"/>
  <c r="AJ99" i="1"/>
  <c r="CI98" i="1"/>
  <c r="AY98" i="1"/>
  <c r="BB98" i="1" s="1"/>
  <c r="BB97" i="1"/>
  <c r="AZ86" i="1"/>
  <c r="BC86" i="1"/>
  <c r="BA97" i="1"/>
  <c r="AM101" i="1"/>
  <c r="BU101" i="1" s="1"/>
  <c r="CK100" i="1"/>
  <c r="AO99" i="1"/>
  <c r="AP97" i="1"/>
  <c r="BJ97" i="1" s="1"/>
  <c r="CL96" i="1"/>
  <c r="DQ187" i="1"/>
  <c r="DI186" i="1"/>
  <c r="DI199" i="1"/>
  <c r="DQ200" i="1"/>
  <c r="BN96" i="1" l="1"/>
  <c r="BO96" i="1"/>
  <c r="CC164" i="1"/>
  <c r="CE164" i="1" s="1"/>
  <c r="CF164" i="1" s="1"/>
  <c r="AQ165" i="1"/>
  <c r="CA101" i="1"/>
  <c r="BW99" i="1"/>
  <c r="BX99" i="1" s="1"/>
  <c r="BZ99" i="1" s="1"/>
  <c r="BR99" i="1"/>
  <c r="CH101" i="1"/>
  <c r="BH96" i="1"/>
  <c r="BG96" i="1"/>
  <c r="BK97" i="1"/>
  <c r="BF97" i="1"/>
  <c r="BA98" i="1"/>
  <c r="CW86" i="1"/>
  <c r="CY86" i="1"/>
  <c r="CJ99" i="1"/>
  <c r="CI99" i="1"/>
  <c r="AJ100" i="1"/>
  <c r="AY99" i="1"/>
  <c r="CQ98" i="1"/>
  <c r="CN98" i="1"/>
  <c r="AM102" i="1"/>
  <c r="BU102" i="1" s="1"/>
  <c r="CA102" i="1" s="1"/>
  <c r="CK101" i="1"/>
  <c r="AO100" i="1"/>
  <c r="AP98" i="1"/>
  <c r="BJ98" i="1" s="1"/>
  <c r="CL97" i="1"/>
  <c r="DA86" i="1" s="1"/>
  <c r="DQ201" i="1"/>
  <c r="DI200" i="1"/>
  <c r="DQ188" i="1"/>
  <c r="DI187" i="1"/>
  <c r="BN97" i="1" l="1"/>
  <c r="BO97" i="1"/>
  <c r="CC165" i="1"/>
  <c r="CE165" i="1" s="1"/>
  <c r="CF165" i="1" s="1"/>
  <c r="AQ166" i="1"/>
  <c r="BW100" i="1"/>
  <c r="BX100" i="1" s="1"/>
  <c r="BZ100" i="1" s="1"/>
  <c r="BR100" i="1"/>
  <c r="CH102" i="1"/>
  <c r="BF98" i="1"/>
  <c r="BG97" i="1"/>
  <c r="BH97" i="1"/>
  <c r="CN99" i="1"/>
  <c r="CQ99" i="1"/>
  <c r="BA99" i="1"/>
  <c r="BB99" i="1"/>
  <c r="CO86" i="1"/>
  <c r="CR86" i="1"/>
  <c r="CJ100" i="1"/>
  <c r="CI100" i="1"/>
  <c r="AJ101" i="1"/>
  <c r="AY100" i="1"/>
  <c r="BB100" i="1" s="1"/>
  <c r="AM103" i="1"/>
  <c r="BU103" i="1" s="1"/>
  <c r="CK102" i="1"/>
  <c r="BI100" i="1"/>
  <c r="DF100" i="1"/>
  <c r="AP99" i="1"/>
  <c r="BJ99" i="1" s="1"/>
  <c r="CL98" i="1"/>
  <c r="AO101" i="1"/>
  <c r="DQ189" i="1"/>
  <c r="DI188" i="1"/>
  <c r="DQ202" i="1"/>
  <c r="DI201" i="1"/>
  <c r="CC166" i="1" l="1"/>
  <c r="CE166" i="1" s="1"/>
  <c r="CF166" i="1" s="1"/>
  <c r="AQ167" i="1"/>
  <c r="CA103" i="1"/>
  <c r="BW101" i="1"/>
  <c r="BX101" i="1" s="1"/>
  <c r="BZ101" i="1" s="1"/>
  <c r="BR101" i="1"/>
  <c r="CH103" i="1"/>
  <c r="BG98" i="1"/>
  <c r="BF99" i="1"/>
  <c r="BA100" i="1"/>
  <c r="CN100" i="1"/>
  <c r="CQ100" i="1"/>
  <c r="CJ101" i="1"/>
  <c r="AJ102" i="1"/>
  <c r="CI101" i="1"/>
  <c r="AY101" i="1"/>
  <c r="AM104" i="1"/>
  <c r="BU104" i="1" s="1"/>
  <c r="CK103" i="1"/>
  <c r="BI101" i="1"/>
  <c r="DF101" i="1"/>
  <c r="AO102" i="1"/>
  <c r="AP100" i="1"/>
  <c r="BJ100" i="1" s="1"/>
  <c r="CL99" i="1"/>
  <c r="DI202" i="1"/>
  <c r="DQ203" i="1"/>
  <c r="DI189" i="1"/>
  <c r="DQ190" i="1"/>
  <c r="CC167" i="1" l="1"/>
  <c r="CE167" i="1" s="1"/>
  <c r="CF167" i="1" s="1"/>
  <c r="AQ168" i="1"/>
  <c r="CA104" i="1"/>
  <c r="BW102" i="1"/>
  <c r="BX102" i="1" s="1"/>
  <c r="BZ102" i="1" s="1"/>
  <c r="BR102" i="1"/>
  <c r="CH104" i="1"/>
  <c r="BF100" i="1"/>
  <c r="BG99" i="1"/>
  <c r="BA101" i="1"/>
  <c r="BB101" i="1"/>
  <c r="CJ102" i="1"/>
  <c r="AJ103" i="1"/>
  <c r="CI102" i="1"/>
  <c r="AY102" i="1"/>
  <c r="BB102" i="1" s="1"/>
  <c r="CN101" i="1"/>
  <c r="CQ101" i="1"/>
  <c r="BI102" i="1"/>
  <c r="DF102" i="1"/>
  <c r="AM105" i="1"/>
  <c r="BU105" i="1" s="1"/>
  <c r="CK104" i="1"/>
  <c r="AP101" i="1"/>
  <c r="BJ101" i="1" s="1"/>
  <c r="BK100" i="1"/>
  <c r="CL100" i="1"/>
  <c r="AO103" i="1"/>
  <c r="DQ191" i="1"/>
  <c r="DI190" i="1"/>
  <c r="DI203" i="1"/>
  <c r="DQ204" i="1"/>
  <c r="DI204" i="1" s="1"/>
  <c r="BN100" i="1" l="1"/>
  <c r="BO100" i="1"/>
  <c r="CC168" i="1"/>
  <c r="CE168" i="1" s="1"/>
  <c r="CF168" i="1" s="1"/>
  <c r="AQ169" i="1"/>
  <c r="CA105" i="1"/>
  <c r="CH105" i="1"/>
  <c r="BW103" i="1"/>
  <c r="BX103" i="1" s="1"/>
  <c r="BZ103" i="1" s="1"/>
  <c r="BR103" i="1"/>
  <c r="BF101" i="1"/>
  <c r="BH100" i="1"/>
  <c r="BG100" i="1"/>
  <c r="CN102" i="1"/>
  <c r="CQ102" i="1"/>
  <c r="BA102" i="1"/>
  <c r="CJ103" i="1"/>
  <c r="AJ104" i="1"/>
  <c r="CI103" i="1"/>
  <c r="AY103" i="1"/>
  <c r="BB103" i="1" s="1"/>
  <c r="AM106" i="1"/>
  <c r="BU106" i="1" s="1"/>
  <c r="CK105" i="1"/>
  <c r="DF103" i="1"/>
  <c r="BI103" i="1"/>
  <c r="AO104" i="1"/>
  <c r="AP102" i="1"/>
  <c r="BJ102" i="1" s="1"/>
  <c r="BK101" i="1"/>
  <c r="CL101" i="1"/>
  <c r="DI191" i="1"/>
  <c r="DQ192" i="1"/>
  <c r="DI192" i="1" s="1"/>
  <c r="BN101" i="1" l="1"/>
  <c r="BO101" i="1"/>
  <c r="CC169" i="1"/>
  <c r="AQ170" i="1"/>
  <c r="CH106" i="1"/>
  <c r="CA106" i="1"/>
  <c r="BW104" i="1"/>
  <c r="BX104" i="1" s="1"/>
  <c r="BZ104" i="1" s="1"/>
  <c r="BR104" i="1"/>
  <c r="BF102" i="1"/>
  <c r="BH101" i="1"/>
  <c r="BG101" i="1"/>
  <c r="CQ103" i="1"/>
  <c r="CN103" i="1"/>
  <c r="BA103" i="1"/>
  <c r="CJ104" i="1"/>
  <c r="AJ105" i="1"/>
  <c r="CI104" i="1"/>
  <c r="AY104" i="1"/>
  <c r="BB104" i="1" s="1"/>
  <c r="DF104" i="1"/>
  <c r="BI104" i="1"/>
  <c r="AM107" i="1"/>
  <c r="BU107" i="1" s="1"/>
  <c r="CK106" i="1"/>
  <c r="AO105" i="1"/>
  <c r="AP103" i="1"/>
  <c r="BJ103" i="1" s="1"/>
  <c r="BK102" i="1"/>
  <c r="CL102" i="1"/>
  <c r="BN102" i="1" l="1"/>
  <c r="BO102" i="1"/>
  <c r="CC170" i="1"/>
  <c r="AQ171" i="1"/>
  <c r="CE169" i="1"/>
  <c r="CF169" i="1" s="1"/>
  <c r="CD158" i="1"/>
  <c r="CH107" i="1"/>
  <c r="CA107" i="1"/>
  <c r="BW105" i="1"/>
  <c r="BX105" i="1" s="1"/>
  <c r="BZ105" i="1" s="1"/>
  <c r="BR105" i="1"/>
  <c r="BF103" i="1"/>
  <c r="BH102" i="1"/>
  <c r="BG102" i="1"/>
  <c r="BA104" i="1"/>
  <c r="CJ105" i="1"/>
  <c r="AJ106" i="1"/>
  <c r="CI105" i="1"/>
  <c r="AY105" i="1"/>
  <c r="BB105" i="1" s="1"/>
  <c r="CQ104" i="1"/>
  <c r="CN104" i="1"/>
  <c r="AM108" i="1"/>
  <c r="BU108" i="1" s="1"/>
  <c r="CK107" i="1"/>
  <c r="DF105" i="1"/>
  <c r="BI105" i="1"/>
  <c r="AO106" i="1"/>
  <c r="AP104" i="1"/>
  <c r="BJ104" i="1" s="1"/>
  <c r="CL103" i="1"/>
  <c r="BK103" i="1"/>
  <c r="BN103" i="1" l="1"/>
  <c r="BO103" i="1"/>
  <c r="CC171" i="1"/>
  <c r="CE171" i="1" s="1"/>
  <c r="CF171" i="1" s="1"/>
  <c r="AQ172" i="1"/>
  <c r="CE170" i="1"/>
  <c r="CF170" i="1" s="1"/>
  <c r="CH108" i="1"/>
  <c r="CA108" i="1"/>
  <c r="BW106" i="1"/>
  <c r="BX106" i="1" s="1"/>
  <c r="BZ106" i="1" s="1"/>
  <c r="BR106" i="1"/>
  <c r="BF104" i="1"/>
  <c r="BG103" i="1"/>
  <c r="BH103" i="1"/>
  <c r="BA105" i="1"/>
  <c r="CJ106" i="1"/>
  <c r="AJ107" i="1"/>
  <c r="CI106" i="1"/>
  <c r="AY106" i="1"/>
  <c r="CQ105" i="1"/>
  <c r="CN105" i="1"/>
  <c r="BI106" i="1"/>
  <c r="DF106" i="1"/>
  <c r="AM109" i="1"/>
  <c r="BU109" i="1" s="1"/>
  <c r="CA109" i="1" s="1"/>
  <c r="CB98" i="1" s="1"/>
  <c r="CK108" i="1"/>
  <c r="AP105" i="1"/>
  <c r="BJ105" i="1" s="1"/>
  <c r="CL104" i="1"/>
  <c r="BK104" i="1"/>
  <c r="AO107" i="1"/>
  <c r="BN104" i="1" l="1"/>
  <c r="BO104" i="1"/>
  <c r="CC172" i="1"/>
  <c r="AQ173" i="1"/>
  <c r="BW107" i="1"/>
  <c r="BX107" i="1" s="1"/>
  <c r="BZ107" i="1" s="1"/>
  <c r="BR107" i="1"/>
  <c r="BV98" i="1"/>
  <c r="BK105" i="1"/>
  <c r="BF105" i="1"/>
  <c r="BH104" i="1"/>
  <c r="BG104" i="1"/>
  <c r="BA106" i="1"/>
  <c r="BB106" i="1"/>
  <c r="CJ107" i="1"/>
  <c r="AJ108" i="1"/>
  <c r="CI107" i="1"/>
  <c r="AY107" i="1"/>
  <c r="BB107" i="1" s="1"/>
  <c r="CQ106" i="1"/>
  <c r="CN106" i="1"/>
  <c r="AM110" i="1"/>
  <c r="BU110" i="1" s="1"/>
  <c r="CA110" i="1" s="1"/>
  <c r="CK109" i="1"/>
  <c r="CZ98" i="1" s="1"/>
  <c r="DF107" i="1"/>
  <c r="BI107" i="1"/>
  <c r="AP106" i="1"/>
  <c r="BJ106" i="1" s="1"/>
  <c r="CL105" i="1"/>
  <c r="AO108" i="1"/>
  <c r="BN105" i="1" l="1"/>
  <c r="BO105" i="1"/>
  <c r="CC173" i="1"/>
  <c r="AQ174" i="1"/>
  <c r="CE172" i="1"/>
  <c r="CF172" i="1" s="1"/>
  <c r="BW108" i="1"/>
  <c r="BX108" i="1" s="1"/>
  <c r="BZ108" i="1" s="1"/>
  <c r="BR108" i="1"/>
  <c r="CG98" i="1"/>
  <c r="CH109" i="1"/>
  <c r="BF106" i="1"/>
  <c r="BH105" i="1"/>
  <c r="BG105" i="1"/>
  <c r="BA107" i="1"/>
  <c r="CJ108" i="1"/>
  <c r="CI108" i="1"/>
  <c r="AJ109" i="1"/>
  <c r="AY108" i="1"/>
  <c r="CQ107" i="1"/>
  <c r="CN107" i="1"/>
  <c r="AM111" i="1"/>
  <c r="BU111" i="1" s="1"/>
  <c r="CK110" i="1"/>
  <c r="DF108" i="1"/>
  <c r="BI108" i="1"/>
  <c r="AO109" i="1"/>
  <c r="AP107" i="1"/>
  <c r="BJ107" i="1" s="1"/>
  <c r="BK106" i="1"/>
  <c r="CL106" i="1"/>
  <c r="BN106" i="1" l="1"/>
  <c r="BO106" i="1"/>
  <c r="CC174" i="1"/>
  <c r="CE174" i="1" s="1"/>
  <c r="CF174" i="1" s="1"/>
  <c r="AQ175" i="1"/>
  <c r="CE173" i="1"/>
  <c r="CF173" i="1" s="1"/>
  <c r="CA111" i="1"/>
  <c r="BW109" i="1"/>
  <c r="BX109" i="1" s="1"/>
  <c r="BR109" i="1"/>
  <c r="BZ109" i="1"/>
  <c r="BY98" i="1"/>
  <c r="CH110" i="1"/>
  <c r="CH111" i="1" s="1"/>
  <c r="BH106" i="1"/>
  <c r="BG106" i="1"/>
  <c r="BK107" i="1"/>
  <c r="BF107" i="1"/>
  <c r="CJ109" i="1"/>
  <c r="AJ110" i="1"/>
  <c r="CI109" i="1"/>
  <c r="AY109" i="1"/>
  <c r="BB108" i="1"/>
  <c r="BA108" i="1"/>
  <c r="CN108" i="1"/>
  <c r="CQ108" i="1"/>
  <c r="AM112" i="1"/>
  <c r="BU112" i="1" s="1"/>
  <c r="CK111" i="1"/>
  <c r="BI109" i="1"/>
  <c r="DF109" i="1"/>
  <c r="AP108" i="1"/>
  <c r="BJ108" i="1" s="1"/>
  <c r="CL107" i="1"/>
  <c r="AO110" i="1"/>
  <c r="BN107" i="1" l="1"/>
  <c r="BO107" i="1"/>
  <c r="CC175" i="1"/>
  <c r="CE175" i="1" s="1"/>
  <c r="CF175" i="1" s="1"/>
  <c r="AQ176" i="1"/>
  <c r="CA112" i="1"/>
  <c r="BW110" i="1"/>
  <c r="BX110" i="1" s="1"/>
  <c r="BR110" i="1"/>
  <c r="BZ110" i="1"/>
  <c r="CH112" i="1"/>
  <c r="BK108" i="1"/>
  <c r="BF108" i="1"/>
  <c r="BH107" i="1"/>
  <c r="BG107" i="1"/>
  <c r="BB109" i="1"/>
  <c r="AZ98" i="1"/>
  <c r="CJ110" i="1"/>
  <c r="AJ111" i="1"/>
  <c r="CI110" i="1"/>
  <c r="AY110" i="1"/>
  <c r="BB110" i="1" s="1"/>
  <c r="CN109" i="1"/>
  <c r="CQ109" i="1"/>
  <c r="CV99" i="1"/>
  <c r="BA109" i="1"/>
  <c r="BC98" i="1"/>
  <c r="AM113" i="1"/>
  <c r="BU113" i="1" s="1"/>
  <c r="CK112" i="1"/>
  <c r="AP109" i="1"/>
  <c r="BJ109" i="1" s="1"/>
  <c r="CL108" i="1"/>
  <c r="AO111" i="1"/>
  <c r="BN108" i="1" l="1"/>
  <c r="BO108" i="1"/>
  <c r="CC176" i="1"/>
  <c r="CE176" i="1" s="1"/>
  <c r="CF176" i="1" s="1"/>
  <c r="AQ177" i="1"/>
  <c r="CA113" i="1"/>
  <c r="BW111" i="1"/>
  <c r="BX111" i="1" s="1"/>
  <c r="BZ111" i="1" s="1"/>
  <c r="BR111" i="1"/>
  <c r="CH113" i="1"/>
  <c r="BF109" i="1"/>
  <c r="BH108" i="1"/>
  <c r="BG108" i="1"/>
  <c r="BA110" i="1"/>
  <c r="CN110" i="1"/>
  <c r="CQ110" i="1"/>
  <c r="CJ111" i="1"/>
  <c r="CI111" i="1"/>
  <c r="AJ112" i="1"/>
  <c r="AY111" i="1"/>
  <c r="BB111" i="1" s="1"/>
  <c r="CW98" i="1"/>
  <c r="CY98" i="1"/>
  <c r="AM114" i="1"/>
  <c r="BU114" i="1" s="1"/>
  <c r="CK113" i="1"/>
  <c r="AO112" i="1"/>
  <c r="AP110" i="1"/>
  <c r="BJ110" i="1" s="1"/>
  <c r="BK109" i="1"/>
  <c r="CL109" i="1"/>
  <c r="DA98" i="1" s="1"/>
  <c r="BN109" i="1" l="1"/>
  <c r="BO109" i="1"/>
  <c r="CC177" i="1"/>
  <c r="CE177" i="1" s="1"/>
  <c r="CF177" i="1" s="1"/>
  <c r="AQ178" i="1"/>
  <c r="CA114" i="1"/>
  <c r="BW112" i="1"/>
  <c r="BX112" i="1" s="1"/>
  <c r="BZ112" i="1" s="1"/>
  <c r="BR112" i="1"/>
  <c r="CH114" i="1"/>
  <c r="BH109" i="1"/>
  <c r="BG109" i="1"/>
  <c r="BF110" i="1"/>
  <c r="CJ112" i="1"/>
  <c r="AJ113" i="1"/>
  <c r="CI112" i="1"/>
  <c r="AY112" i="1"/>
  <c r="BB112" i="1" s="1"/>
  <c r="CR98" i="1"/>
  <c r="CO98" i="1"/>
  <c r="CN111" i="1"/>
  <c r="CQ111" i="1"/>
  <c r="BA111" i="1"/>
  <c r="BI112" i="1"/>
  <c r="DF112" i="1"/>
  <c r="AM115" i="1"/>
  <c r="BU115" i="1" s="1"/>
  <c r="CK114" i="1"/>
  <c r="AP111" i="1"/>
  <c r="BJ111" i="1" s="1"/>
  <c r="CL110" i="1"/>
  <c r="AO113" i="1"/>
  <c r="CC178" i="1" l="1"/>
  <c r="CE178" i="1" s="1"/>
  <c r="CF178" i="1" s="1"/>
  <c r="AQ179" i="1"/>
  <c r="CA115" i="1"/>
  <c r="BW113" i="1"/>
  <c r="BX113" i="1" s="1"/>
  <c r="BZ113" i="1" s="1"/>
  <c r="BR113" i="1"/>
  <c r="CH115" i="1"/>
  <c r="BG110" i="1"/>
  <c r="BF111" i="1"/>
  <c r="CJ113" i="1"/>
  <c r="AJ114" i="1"/>
  <c r="CI113" i="1"/>
  <c r="AY113" i="1"/>
  <c r="BB113" i="1" s="1"/>
  <c r="BA112" i="1"/>
  <c r="CQ112" i="1"/>
  <c r="CN112" i="1"/>
  <c r="AM116" i="1"/>
  <c r="BU116" i="1" s="1"/>
  <c r="CK115" i="1"/>
  <c r="BI113" i="1"/>
  <c r="DF113" i="1"/>
  <c r="AO114" i="1"/>
  <c r="AP112" i="1"/>
  <c r="BJ112" i="1" s="1"/>
  <c r="CL111" i="1"/>
  <c r="CC179" i="1" l="1"/>
  <c r="CE179" i="1" s="1"/>
  <c r="CF179" i="1" s="1"/>
  <c r="AQ180" i="1"/>
  <c r="CA116" i="1"/>
  <c r="BW114" i="1"/>
  <c r="BX114" i="1" s="1"/>
  <c r="BZ114" i="1" s="1"/>
  <c r="BR114" i="1"/>
  <c r="CH116" i="1"/>
  <c r="BF112" i="1"/>
  <c r="BG111" i="1"/>
  <c r="BA113" i="1"/>
  <c r="CJ114" i="1"/>
  <c r="AJ115" i="1"/>
  <c r="CI114" i="1"/>
  <c r="AY114" i="1"/>
  <c r="BB114" i="1" s="1"/>
  <c r="CQ113" i="1"/>
  <c r="CN113" i="1"/>
  <c r="DF114" i="1"/>
  <c r="BI114" i="1"/>
  <c r="AM117" i="1"/>
  <c r="BU117" i="1" s="1"/>
  <c r="CK116" i="1"/>
  <c r="AO115" i="1"/>
  <c r="AP113" i="1"/>
  <c r="BJ113" i="1" s="1"/>
  <c r="CL112" i="1"/>
  <c r="BK112" i="1"/>
  <c r="BN112" i="1" l="1"/>
  <c r="BO112" i="1"/>
  <c r="CC180" i="1"/>
  <c r="CE180" i="1" s="1"/>
  <c r="CF180" i="1" s="1"/>
  <c r="AQ181" i="1"/>
  <c r="CA117" i="1"/>
  <c r="BW115" i="1"/>
  <c r="BX115" i="1" s="1"/>
  <c r="BZ115" i="1" s="1"/>
  <c r="BR115" i="1"/>
  <c r="CH117" i="1"/>
  <c r="BH112" i="1"/>
  <c r="BG112" i="1"/>
  <c r="BK113" i="1"/>
  <c r="BF113" i="1"/>
  <c r="BA114" i="1"/>
  <c r="CJ115" i="1"/>
  <c r="CI115" i="1"/>
  <c r="AJ116" i="1"/>
  <c r="AY115" i="1"/>
  <c r="BB115" i="1" s="1"/>
  <c r="CN114" i="1"/>
  <c r="CQ114" i="1"/>
  <c r="BI115" i="1"/>
  <c r="DF115" i="1"/>
  <c r="AM118" i="1"/>
  <c r="BU118" i="1" s="1"/>
  <c r="CK117" i="1"/>
  <c r="AP114" i="1"/>
  <c r="BJ114" i="1" s="1"/>
  <c r="CL113" i="1"/>
  <c r="AO116" i="1"/>
  <c r="BN113" i="1" l="1"/>
  <c r="BO113" i="1"/>
  <c r="CC181" i="1"/>
  <c r="AQ182" i="1"/>
  <c r="CA118" i="1"/>
  <c r="BW116" i="1"/>
  <c r="BX116" i="1" s="1"/>
  <c r="BZ116" i="1" s="1"/>
  <c r="BR116" i="1"/>
  <c r="CH118" i="1"/>
  <c r="BG113" i="1"/>
  <c r="BH113" i="1"/>
  <c r="BK114" i="1"/>
  <c r="BF114" i="1"/>
  <c r="CQ115" i="1"/>
  <c r="CN115" i="1"/>
  <c r="CJ116" i="1"/>
  <c r="AJ117" i="1"/>
  <c r="CI116" i="1"/>
  <c r="AY116" i="1"/>
  <c r="BB116" i="1" s="1"/>
  <c r="BA115" i="1"/>
  <c r="AM119" i="1"/>
  <c r="BU119" i="1" s="1"/>
  <c r="CK118" i="1"/>
  <c r="BI116" i="1"/>
  <c r="DF116" i="1"/>
  <c r="AP115" i="1"/>
  <c r="BJ115" i="1" s="1"/>
  <c r="CL114" i="1"/>
  <c r="AO117" i="1"/>
  <c r="BN114" i="1" l="1"/>
  <c r="BO114" i="1"/>
  <c r="CC182" i="1"/>
  <c r="AQ183" i="1"/>
  <c r="CE181" i="1"/>
  <c r="CF181" i="1" s="1"/>
  <c r="CD170" i="1"/>
  <c r="CA119" i="1"/>
  <c r="BW117" i="1"/>
  <c r="BX117" i="1" s="1"/>
  <c r="BZ117" i="1" s="1"/>
  <c r="BR117" i="1"/>
  <c r="CH119" i="1"/>
  <c r="BG114" i="1"/>
  <c r="BH114" i="1"/>
  <c r="BK115" i="1"/>
  <c r="BF115" i="1"/>
  <c r="CJ117" i="1"/>
  <c r="AJ118" i="1"/>
  <c r="CI117" i="1"/>
  <c r="AY117" i="1"/>
  <c r="BB117" i="1" s="1"/>
  <c r="CQ116" i="1"/>
  <c r="CN116" i="1"/>
  <c r="BA116" i="1"/>
  <c r="BI117" i="1"/>
  <c r="DF117" i="1"/>
  <c r="AM120" i="1"/>
  <c r="BU120" i="1" s="1"/>
  <c r="CK119" i="1"/>
  <c r="AO118" i="1"/>
  <c r="AP116" i="1"/>
  <c r="BJ116" i="1" s="1"/>
  <c r="CL115" i="1"/>
  <c r="BN115" i="1" l="1"/>
  <c r="BO115" i="1"/>
  <c r="CC183" i="1"/>
  <c r="CE183" i="1" s="1"/>
  <c r="CF183" i="1" s="1"/>
  <c r="AQ184" i="1"/>
  <c r="CE182" i="1"/>
  <c r="CF182" i="1" s="1"/>
  <c r="CA120" i="1"/>
  <c r="BW118" i="1"/>
  <c r="BX118" i="1" s="1"/>
  <c r="BZ118" i="1" s="1"/>
  <c r="BR118" i="1"/>
  <c r="CH120" i="1"/>
  <c r="BH115" i="1"/>
  <c r="BG115" i="1"/>
  <c r="BK116" i="1"/>
  <c r="BF116" i="1"/>
  <c r="BA117" i="1"/>
  <c r="CJ118" i="1"/>
  <c r="CI118" i="1"/>
  <c r="AJ119" i="1"/>
  <c r="AY118" i="1"/>
  <c r="BB118" i="1" s="1"/>
  <c r="CN117" i="1"/>
  <c r="CQ117" i="1"/>
  <c r="AM121" i="1"/>
  <c r="BU121" i="1" s="1"/>
  <c r="CA121" i="1" s="1"/>
  <c r="CB110" i="1" s="1"/>
  <c r="CK120" i="1"/>
  <c r="BI118" i="1"/>
  <c r="DF118" i="1"/>
  <c r="AP117" i="1"/>
  <c r="BJ117" i="1" s="1"/>
  <c r="CL116" i="1"/>
  <c r="AO119" i="1"/>
  <c r="BN116" i="1" l="1"/>
  <c r="BO116" i="1"/>
  <c r="CC184" i="1"/>
  <c r="AQ185" i="1"/>
  <c r="BW119" i="1"/>
  <c r="BX119" i="1" s="1"/>
  <c r="BZ119" i="1" s="1"/>
  <c r="BR119" i="1"/>
  <c r="CG110" i="1"/>
  <c r="BV110" i="1"/>
  <c r="BG116" i="1"/>
  <c r="BH116" i="1"/>
  <c r="BK117" i="1"/>
  <c r="BF117" i="1"/>
  <c r="CN118" i="1"/>
  <c r="CQ118" i="1"/>
  <c r="CJ119" i="1"/>
  <c r="CI119" i="1"/>
  <c r="AJ120" i="1"/>
  <c r="AY119" i="1"/>
  <c r="BA118" i="1"/>
  <c r="DF119" i="1"/>
  <c r="BI119" i="1"/>
  <c r="AM122" i="1"/>
  <c r="BU122" i="1" s="1"/>
  <c r="CA122" i="1" s="1"/>
  <c r="CK121" i="1"/>
  <c r="CZ110" i="1" s="1"/>
  <c r="AO120" i="1"/>
  <c r="AP118" i="1"/>
  <c r="BJ118" i="1" s="1"/>
  <c r="CL117" i="1"/>
  <c r="BN117" i="1" l="1"/>
  <c r="BO117" i="1"/>
  <c r="CC185" i="1"/>
  <c r="AQ186" i="1"/>
  <c r="CE184" i="1"/>
  <c r="CF184" i="1" s="1"/>
  <c r="BW120" i="1"/>
  <c r="BX120" i="1" s="1"/>
  <c r="BZ120" i="1" s="1"/>
  <c r="BR120" i="1"/>
  <c r="CH121" i="1"/>
  <c r="BF118" i="1"/>
  <c r="BH117" i="1"/>
  <c r="BG117" i="1"/>
  <c r="BA119" i="1"/>
  <c r="BB119" i="1"/>
  <c r="CJ120" i="1"/>
  <c r="CI120" i="1"/>
  <c r="AJ121" i="1"/>
  <c r="AY120" i="1"/>
  <c r="BB120" i="1" s="1"/>
  <c r="CN119" i="1"/>
  <c r="CQ119" i="1"/>
  <c r="AM123" i="1"/>
  <c r="BU123" i="1" s="1"/>
  <c r="CK122" i="1"/>
  <c r="BI120" i="1"/>
  <c r="DF120" i="1"/>
  <c r="AP119" i="1"/>
  <c r="BJ119" i="1" s="1"/>
  <c r="BK118" i="1"/>
  <c r="CL118" i="1"/>
  <c r="AO121" i="1"/>
  <c r="BN118" i="1" l="1"/>
  <c r="BO118" i="1"/>
  <c r="CC186" i="1"/>
  <c r="CE186" i="1" s="1"/>
  <c r="CF186" i="1" s="1"/>
  <c r="AQ187" i="1"/>
  <c r="CE185" i="1"/>
  <c r="CF185" i="1" s="1"/>
  <c r="CA123" i="1"/>
  <c r="BW121" i="1"/>
  <c r="BX121" i="1" s="1"/>
  <c r="BR121" i="1"/>
  <c r="BZ121" i="1"/>
  <c r="BY110" i="1"/>
  <c r="CH122" i="1"/>
  <c r="CH123" i="1" s="1"/>
  <c r="BF119" i="1"/>
  <c r="BH118" i="1"/>
  <c r="BG118" i="1"/>
  <c r="CJ121" i="1"/>
  <c r="CI121" i="1"/>
  <c r="AJ122" i="1"/>
  <c r="AY121" i="1"/>
  <c r="BC110" i="1" s="1"/>
  <c r="CN120" i="1"/>
  <c r="CQ120" i="1"/>
  <c r="BA120" i="1"/>
  <c r="BI121" i="1"/>
  <c r="DF121" i="1"/>
  <c r="AM124" i="1"/>
  <c r="BU124" i="1" s="1"/>
  <c r="CK123" i="1"/>
  <c r="AP120" i="1"/>
  <c r="BJ120" i="1" s="1"/>
  <c r="CL119" i="1"/>
  <c r="BK119" i="1"/>
  <c r="AO122" i="1"/>
  <c r="BN119" i="1" l="1"/>
  <c r="BO119" i="1"/>
  <c r="CC187" i="1"/>
  <c r="CE187" i="1" s="1"/>
  <c r="CF187" i="1" s="1"/>
  <c r="AQ188" i="1"/>
  <c r="CA124" i="1"/>
  <c r="BW122" i="1"/>
  <c r="BX122" i="1" s="1"/>
  <c r="BR122" i="1"/>
  <c r="BZ122" i="1"/>
  <c r="CH124" i="1"/>
  <c r="BF120" i="1"/>
  <c r="BH119" i="1"/>
  <c r="BG119" i="1"/>
  <c r="BA121" i="1"/>
  <c r="BB121" i="1"/>
  <c r="AZ110" i="1"/>
  <c r="CJ122" i="1"/>
  <c r="CI122" i="1"/>
  <c r="AJ123" i="1"/>
  <c r="AY122" i="1"/>
  <c r="BB122" i="1" s="1"/>
  <c r="CQ121" i="1"/>
  <c r="CN121" i="1"/>
  <c r="CV111" i="1"/>
  <c r="AM125" i="1"/>
  <c r="BU125" i="1" s="1"/>
  <c r="CK124" i="1"/>
  <c r="AO123" i="1"/>
  <c r="AP121" i="1"/>
  <c r="BJ121" i="1" s="1"/>
  <c r="CL120" i="1"/>
  <c r="BK120" i="1"/>
  <c r="BN120" i="1" l="1"/>
  <c r="BO120" i="1"/>
  <c r="CC188" i="1"/>
  <c r="CE188" i="1" s="1"/>
  <c r="CF188" i="1" s="1"/>
  <c r="AQ189" i="1"/>
  <c r="CA125" i="1"/>
  <c r="BW123" i="1"/>
  <c r="BX123" i="1" s="1"/>
  <c r="BZ123" i="1" s="1"/>
  <c r="BR123" i="1"/>
  <c r="CH125" i="1"/>
  <c r="BF121" i="1"/>
  <c r="BH120" i="1"/>
  <c r="BG120" i="1"/>
  <c r="CW110" i="1"/>
  <c r="CY110" i="1"/>
  <c r="CQ122" i="1"/>
  <c r="CN122" i="1"/>
  <c r="CJ123" i="1"/>
  <c r="AJ124" i="1"/>
  <c r="CI123" i="1"/>
  <c r="AY123" i="1"/>
  <c r="BA122" i="1"/>
  <c r="AM126" i="1"/>
  <c r="BU126" i="1" s="1"/>
  <c r="CK125" i="1"/>
  <c r="AP122" i="1"/>
  <c r="BJ122" i="1" s="1"/>
  <c r="BK121" i="1"/>
  <c r="CL121" i="1"/>
  <c r="DA110" i="1" s="1"/>
  <c r="AO124" i="1"/>
  <c r="BN121" i="1" l="1"/>
  <c r="BO121" i="1"/>
  <c r="CC189" i="1"/>
  <c r="CE189" i="1" s="1"/>
  <c r="CF189" i="1" s="1"/>
  <c r="AQ190" i="1"/>
  <c r="CA126" i="1"/>
  <c r="BW124" i="1"/>
  <c r="BX124" i="1" s="1"/>
  <c r="BZ124" i="1" s="1"/>
  <c r="BR124" i="1"/>
  <c r="CH126" i="1"/>
  <c r="BF122" i="1"/>
  <c r="BH121" i="1"/>
  <c r="BG121" i="1"/>
  <c r="CJ124" i="1"/>
  <c r="CI124" i="1"/>
  <c r="AJ125" i="1"/>
  <c r="AY124" i="1"/>
  <c r="CN123" i="1"/>
  <c r="CQ123" i="1"/>
  <c r="CO110" i="1"/>
  <c r="CR110" i="1"/>
  <c r="BA123" i="1"/>
  <c r="BB123" i="1"/>
  <c r="BI124" i="1"/>
  <c r="DF124" i="1"/>
  <c r="AM127" i="1"/>
  <c r="BU127" i="1" s="1"/>
  <c r="CK126" i="1"/>
  <c r="AO125" i="1"/>
  <c r="AP123" i="1"/>
  <c r="BJ123" i="1" s="1"/>
  <c r="CL122" i="1"/>
  <c r="CC190" i="1" l="1"/>
  <c r="CE190" i="1" s="1"/>
  <c r="CF190" i="1" s="1"/>
  <c r="AQ191" i="1"/>
  <c r="CA127" i="1"/>
  <c r="BW125" i="1"/>
  <c r="BX125" i="1" s="1"/>
  <c r="BZ125" i="1" s="1"/>
  <c r="BR125" i="1"/>
  <c r="CH127" i="1"/>
  <c r="BG122" i="1"/>
  <c r="BF123" i="1"/>
  <c r="BA124" i="1"/>
  <c r="BB124" i="1"/>
  <c r="CJ125" i="1"/>
  <c r="AJ126" i="1"/>
  <c r="CI125" i="1"/>
  <c r="AY125" i="1"/>
  <c r="BB125" i="1" s="1"/>
  <c r="CN124" i="1"/>
  <c r="CQ124" i="1"/>
  <c r="AM128" i="1"/>
  <c r="BU128" i="1" s="1"/>
  <c r="CK127" i="1"/>
  <c r="BI125" i="1"/>
  <c r="DF125" i="1"/>
  <c r="AP124" i="1"/>
  <c r="BJ124" i="1" s="1"/>
  <c r="CL123" i="1"/>
  <c r="AO126" i="1"/>
  <c r="CC191" i="1" l="1"/>
  <c r="CE191" i="1" s="1"/>
  <c r="CF191" i="1" s="1"/>
  <c r="AQ192" i="1"/>
  <c r="CA128" i="1"/>
  <c r="BW126" i="1"/>
  <c r="BX126" i="1" s="1"/>
  <c r="BZ126" i="1" s="1"/>
  <c r="BR126" i="1"/>
  <c r="CH128" i="1"/>
  <c r="BK124" i="1"/>
  <c r="BF124" i="1"/>
  <c r="BG123" i="1"/>
  <c r="CN125" i="1"/>
  <c r="CQ125" i="1"/>
  <c r="CJ126" i="1"/>
  <c r="AJ127" i="1"/>
  <c r="CI126" i="1"/>
  <c r="AY126" i="1"/>
  <c r="BB126" i="1" s="1"/>
  <c r="BA125" i="1"/>
  <c r="BI126" i="1"/>
  <c r="DF126" i="1"/>
  <c r="AM129" i="1"/>
  <c r="BU129" i="1" s="1"/>
  <c r="CK128" i="1"/>
  <c r="AP125" i="1"/>
  <c r="BJ125" i="1" s="1"/>
  <c r="CL124" i="1"/>
  <c r="AO127" i="1"/>
  <c r="BN124" i="1" l="1"/>
  <c r="BO124" i="1"/>
  <c r="CC192" i="1"/>
  <c r="CE192" i="1" s="1"/>
  <c r="CF192" i="1" s="1"/>
  <c r="AQ193" i="1"/>
  <c r="CA129" i="1"/>
  <c r="BW127" i="1"/>
  <c r="BX127" i="1" s="1"/>
  <c r="BZ127" i="1" s="1"/>
  <c r="BR127" i="1"/>
  <c r="CH129" i="1"/>
  <c r="BF125" i="1"/>
  <c r="BG124" i="1"/>
  <c r="BH124" i="1"/>
  <c r="BA126" i="1"/>
  <c r="CQ126" i="1"/>
  <c r="CN126" i="1"/>
  <c r="CJ127" i="1"/>
  <c r="AJ128" i="1"/>
  <c r="CI127" i="1"/>
  <c r="AY127" i="1"/>
  <c r="AM130" i="1"/>
  <c r="BU130" i="1" s="1"/>
  <c r="CK129" i="1"/>
  <c r="DF127" i="1"/>
  <c r="BI127" i="1"/>
  <c r="AP126" i="1"/>
  <c r="BJ126" i="1" s="1"/>
  <c r="CL125" i="1"/>
  <c r="BK125" i="1"/>
  <c r="AO128" i="1"/>
  <c r="BN125" i="1" l="1"/>
  <c r="BO125" i="1"/>
  <c r="CC193" i="1"/>
  <c r="AQ194" i="1"/>
  <c r="CA130" i="1"/>
  <c r="BW128" i="1"/>
  <c r="BX128" i="1" s="1"/>
  <c r="BZ128" i="1" s="1"/>
  <c r="BR128" i="1"/>
  <c r="CH130" i="1"/>
  <c r="BF126" i="1"/>
  <c r="BG125" i="1"/>
  <c r="BH125" i="1"/>
  <c r="BA127" i="1"/>
  <c r="BB127" i="1"/>
  <c r="CN127" i="1"/>
  <c r="CQ127" i="1"/>
  <c r="CJ128" i="1"/>
  <c r="AJ129" i="1"/>
  <c r="CI128" i="1"/>
  <c r="AY128" i="1"/>
  <c r="BB128" i="1" s="1"/>
  <c r="BI128" i="1"/>
  <c r="DF128" i="1"/>
  <c r="AM131" i="1"/>
  <c r="BU131" i="1" s="1"/>
  <c r="CK130" i="1"/>
  <c r="AO129" i="1"/>
  <c r="AP127" i="1"/>
  <c r="BJ127" i="1" s="1"/>
  <c r="BK126" i="1"/>
  <c r="CL126" i="1"/>
  <c r="BN126" i="1" l="1"/>
  <c r="BO126" i="1"/>
  <c r="CC194" i="1"/>
  <c r="AQ195" i="1"/>
  <c r="CE193" i="1"/>
  <c r="CF193" i="1" s="1"/>
  <c r="CD182" i="1"/>
  <c r="CA131" i="1"/>
  <c r="BW129" i="1"/>
  <c r="BX129" i="1" s="1"/>
  <c r="BZ129" i="1" s="1"/>
  <c r="BR129" i="1"/>
  <c r="CH131" i="1"/>
  <c r="BK127" i="1"/>
  <c r="BF127" i="1"/>
  <c r="BH126" i="1"/>
  <c r="BG126" i="1"/>
  <c r="CN128" i="1"/>
  <c r="CQ128" i="1"/>
  <c r="BA128" i="1"/>
  <c r="CJ129" i="1"/>
  <c r="CI129" i="1"/>
  <c r="AJ130" i="1"/>
  <c r="AY129" i="1"/>
  <c r="BB129" i="1" s="1"/>
  <c r="BI129" i="1"/>
  <c r="DF129" i="1"/>
  <c r="AM132" i="1"/>
  <c r="BU132" i="1" s="1"/>
  <c r="CK131" i="1"/>
  <c r="AP128" i="1"/>
  <c r="BJ128" i="1" s="1"/>
  <c r="CL127" i="1"/>
  <c r="AO130" i="1"/>
  <c r="BN127" i="1" l="1"/>
  <c r="BO127" i="1"/>
  <c r="CC195" i="1"/>
  <c r="CE195" i="1" s="1"/>
  <c r="CF195" i="1" s="1"/>
  <c r="AQ196" i="1"/>
  <c r="CE194" i="1"/>
  <c r="CF194" i="1" s="1"/>
  <c r="CA132" i="1"/>
  <c r="BW130" i="1"/>
  <c r="BX130" i="1" s="1"/>
  <c r="BZ130" i="1" s="1"/>
  <c r="BR130" i="1"/>
  <c r="CH132" i="1"/>
  <c r="BF128" i="1"/>
  <c r="BG127" i="1"/>
  <c r="BH127" i="1"/>
  <c r="CJ130" i="1"/>
  <c r="CI130" i="1"/>
  <c r="AJ131" i="1"/>
  <c r="AY130" i="1"/>
  <c r="BB130" i="1" s="1"/>
  <c r="CN129" i="1"/>
  <c r="CQ129" i="1"/>
  <c r="BA129" i="1"/>
  <c r="AM133" i="1"/>
  <c r="BU133" i="1" s="1"/>
  <c r="CA133" i="1" s="1"/>
  <c r="CB122" i="1" s="1"/>
  <c r="CK132" i="1"/>
  <c r="BI130" i="1"/>
  <c r="DF130" i="1"/>
  <c r="AO131" i="1"/>
  <c r="AP129" i="1"/>
  <c r="BJ129" i="1" s="1"/>
  <c r="CL128" i="1"/>
  <c r="BK128" i="1"/>
  <c r="BN128" i="1" l="1"/>
  <c r="BO128" i="1"/>
  <c r="CC196" i="1"/>
  <c r="AQ197" i="1"/>
  <c r="BW131" i="1"/>
  <c r="BX131" i="1" s="1"/>
  <c r="BZ131" i="1" s="1"/>
  <c r="BR131" i="1"/>
  <c r="CG122" i="1"/>
  <c r="BV122" i="1"/>
  <c r="BH128" i="1"/>
  <c r="BG128" i="1"/>
  <c r="BK129" i="1"/>
  <c r="BF129" i="1"/>
  <c r="BA130" i="1"/>
  <c r="CJ131" i="1"/>
  <c r="CI131" i="1"/>
  <c r="AJ132" i="1"/>
  <c r="AY131" i="1"/>
  <c r="CQ130" i="1"/>
  <c r="CN130" i="1"/>
  <c r="AM134" i="1"/>
  <c r="BU134" i="1" s="1"/>
  <c r="CK133" i="1"/>
  <c r="CZ122" i="1" s="1"/>
  <c r="BI131" i="1"/>
  <c r="DF131" i="1"/>
  <c r="AO132" i="1"/>
  <c r="AP130" i="1"/>
  <c r="BJ130" i="1" s="1"/>
  <c r="CL129" i="1"/>
  <c r="BN129" i="1" l="1"/>
  <c r="BO129" i="1"/>
  <c r="CC197" i="1"/>
  <c r="CE197" i="1" s="1"/>
  <c r="CF197" i="1" s="1"/>
  <c r="AQ198" i="1"/>
  <c r="CE196" i="1"/>
  <c r="CF196" i="1" s="1"/>
  <c r="CA134" i="1"/>
  <c r="BW132" i="1"/>
  <c r="BX132" i="1" s="1"/>
  <c r="BZ132" i="1" s="1"/>
  <c r="BR132" i="1"/>
  <c r="CH133" i="1"/>
  <c r="CH134" i="1" s="1"/>
  <c r="BH129" i="1"/>
  <c r="BG129" i="1"/>
  <c r="BK130" i="1"/>
  <c r="BF130" i="1"/>
  <c r="BA131" i="1"/>
  <c r="BB131" i="1"/>
  <c r="CJ132" i="1"/>
  <c r="AJ133" i="1"/>
  <c r="CI132" i="1"/>
  <c r="AY132" i="1"/>
  <c r="BB132" i="1" s="1"/>
  <c r="CQ131" i="1"/>
  <c r="CN131" i="1"/>
  <c r="AM135" i="1"/>
  <c r="BU135" i="1" s="1"/>
  <c r="CK134" i="1"/>
  <c r="DF132" i="1"/>
  <c r="BI132" i="1"/>
  <c r="AO133" i="1"/>
  <c r="AP131" i="1"/>
  <c r="BJ131" i="1" s="1"/>
  <c r="CL130" i="1"/>
  <c r="BN130" i="1" l="1"/>
  <c r="BO130" i="1"/>
  <c r="CC198" i="1"/>
  <c r="AQ199" i="1"/>
  <c r="CA135" i="1"/>
  <c r="BW133" i="1"/>
  <c r="BX133" i="1" s="1"/>
  <c r="BR133" i="1"/>
  <c r="BZ133" i="1"/>
  <c r="BY122" i="1"/>
  <c r="CH135" i="1"/>
  <c r="BH130" i="1"/>
  <c r="BG130" i="1"/>
  <c r="BK131" i="1"/>
  <c r="BF131" i="1"/>
  <c r="BA132" i="1"/>
  <c r="CJ133" i="1"/>
  <c r="AJ134" i="1"/>
  <c r="CI133" i="1"/>
  <c r="AY133" i="1"/>
  <c r="CN132" i="1"/>
  <c r="CQ132" i="1"/>
  <c r="AM136" i="1"/>
  <c r="BU136" i="1" s="1"/>
  <c r="CK135" i="1"/>
  <c r="DF133" i="1"/>
  <c r="BI133" i="1"/>
  <c r="AP132" i="1"/>
  <c r="BJ132" i="1" s="1"/>
  <c r="CL131" i="1"/>
  <c r="AO134" i="1"/>
  <c r="BN131" i="1" l="1"/>
  <c r="BO131" i="1"/>
  <c r="CC199" i="1"/>
  <c r="CE199" i="1" s="1"/>
  <c r="CF199" i="1" s="1"/>
  <c r="AQ200" i="1"/>
  <c r="CE198" i="1"/>
  <c r="CF198" i="1" s="1"/>
  <c r="CA136" i="1"/>
  <c r="BW134" i="1"/>
  <c r="BX134" i="1" s="1"/>
  <c r="BR134" i="1"/>
  <c r="CH136" i="1"/>
  <c r="BZ134" i="1"/>
  <c r="BF132" i="1"/>
  <c r="BH131" i="1"/>
  <c r="BG131" i="1"/>
  <c r="CJ134" i="1"/>
  <c r="AJ135" i="1"/>
  <c r="CI134" i="1"/>
  <c r="AY134" i="1"/>
  <c r="BB134" i="1" s="1"/>
  <c r="CN133" i="1"/>
  <c r="CQ133" i="1"/>
  <c r="CV123" i="1"/>
  <c r="AZ122" i="1"/>
  <c r="BA133" i="1"/>
  <c r="BB133" i="1"/>
  <c r="BC122" i="1"/>
  <c r="AM137" i="1"/>
  <c r="BU137" i="1" s="1"/>
  <c r="CK136" i="1"/>
  <c r="AO135" i="1"/>
  <c r="AP133" i="1"/>
  <c r="BJ133" i="1" s="1"/>
  <c r="BK132" i="1"/>
  <c r="CL132" i="1"/>
  <c r="BN132" i="1" l="1"/>
  <c r="BO132" i="1"/>
  <c r="CC200" i="1"/>
  <c r="CE200" i="1" s="1"/>
  <c r="CF200" i="1" s="1"/>
  <c r="AQ201" i="1"/>
  <c r="CH137" i="1"/>
  <c r="CA137" i="1"/>
  <c r="BW135" i="1"/>
  <c r="BX135" i="1" s="1"/>
  <c r="BZ135" i="1" s="1"/>
  <c r="BR135" i="1"/>
  <c r="BH132" i="1"/>
  <c r="BG132" i="1"/>
  <c r="BK133" i="1"/>
  <c r="BF133" i="1"/>
  <c r="CJ135" i="1"/>
  <c r="AJ136" i="1"/>
  <c r="CI135" i="1"/>
  <c r="AY135" i="1"/>
  <c r="BB135" i="1" s="1"/>
  <c r="BA134" i="1"/>
  <c r="CN134" i="1"/>
  <c r="CQ134" i="1"/>
  <c r="CW122" i="1"/>
  <c r="CY122" i="1"/>
  <c r="AM138" i="1"/>
  <c r="BU138" i="1" s="1"/>
  <c r="CA138" i="1" s="1"/>
  <c r="CK137" i="1"/>
  <c r="AP134" i="1"/>
  <c r="BJ134" i="1" s="1"/>
  <c r="CL133" i="1"/>
  <c r="DA122" i="1" s="1"/>
  <c r="AO136" i="1"/>
  <c r="BN133" i="1" l="1"/>
  <c r="BO133" i="1"/>
  <c r="CC201" i="1"/>
  <c r="CE201" i="1" s="1"/>
  <c r="CF201" i="1" s="1"/>
  <c r="AQ202" i="1"/>
  <c r="BW136" i="1"/>
  <c r="BX136" i="1" s="1"/>
  <c r="BZ136" i="1" s="1"/>
  <c r="BR136" i="1"/>
  <c r="CH138" i="1"/>
  <c r="BF134" i="1"/>
  <c r="BH133" i="1"/>
  <c r="BG133" i="1"/>
  <c r="BA135" i="1"/>
  <c r="CJ136" i="1"/>
  <c r="CI136" i="1"/>
  <c r="AJ137" i="1"/>
  <c r="AY136" i="1"/>
  <c r="CQ135" i="1"/>
  <c r="CN135" i="1"/>
  <c r="CR122" i="1"/>
  <c r="CO122" i="1"/>
  <c r="AM139" i="1"/>
  <c r="BU139" i="1" s="1"/>
  <c r="CK138" i="1"/>
  <c r="BI136" i="1"/>
  <c r="DF136" i="1"/>
  <c r="AP135" i="1"/>
  <c r="BJ135" i="1" s="1"/>
  <c r="CL134" i="1"/>
  <c r="AO137" i="1"/>
  <c r="CC202" i="1" l="1"/>
  <c r="CE202" i="1" s="1"/>
  <c r="CF202" i="1" s="1"/>
  <c r="AQ203" i="1"/>
  <c r="CA139" i="1"/>
  <c r="BW137" i="1"/>
  <c r="BX137" i="1" s="1"/>
  <c r="BZ137" i="1" s="1"/>
  <c r="BR137" i="1"/>
  <c r="CH139" i="1"/>
  <c r="BF135" i="1"/>
  <c r="BG134" i="1"/>
  <c r="BA136" i="1"/>
  <c r="BB136" i="1"/>
  <c r="CJ137" i="1"/>
  <c r="CI137" i="1"/>
  <c r="AJ138" i="1"/>
  <c r="AY137" i="1"/>
  <c r="CQ136" i="1"/>
  <c r="CN136" i="1"/>
  <c r="AM140" i="1"/>
  <c r="BU140" i="1" s="1"/>
  <c r="CK139" i="1"/>
  <c r="BI137" i="1"/>
  <c r="DF137" i="1"/>
  <c r="AO138" i="1"/>
  <c r="AP136" i="1"/>
  <c r="BJ136" i="1" s="1"/>
  <c r="CL135" i="1"/>
  <c r="CC203" i="1" l="1"/>
  <c r="CE203" i="1" s="1"/>
  <c r="CF203" i="1" s="1"/>
  <c r="AQ204" i="1"/>
  <c r="CA140" i="1"/>
  <c r="BW138" i="1"/>
  <c r="BX138" i="1" s="1"/>
  <c r="BZ138" i="1" s="1"/>
  <c r="BR138" i="1"/>
  <c r="CH140" i="1"/>
  <c r="BF136" i="1"/>
  <c r="BG135" i="1"/>
  <c r="CJ138" i="1"/>
  <c r="CI138" i="1"/>
  <c r="AJ139" i="1"/>
  <c r="AY138" i="1"/>
  <c r="BB138" i="1" s="1"/>
  <c r="CN137" i="1"/>
  <c r="CQ137" i="1"/>
  <c r="BA137" i="1"/>
  <c r="BB137" i="1"/>
  <c r="AM141" i="1"/>
  <c r="BU141" i="1" s="1"/>
  <c r="CK140" i="1"/>
  <c r="BI138" i="1"/>
  <c r="DF138" i="1"/>
  <c r="AP137" i="1"/>
  <c r="BJ137" i="1" s="1"/>
  <c r="CL136" i="1"/>
  <c r="BK136" i="1"/>
  <c r="AO139" i="1"/>
  <c r="BN136" i="1" l="1"/>
  <c r="BO136" i="1"/>
  <c r="CC204" i="1"/>
  <c r="CE204" i="1" s="1"/>
  <c r="CF204" i="1" s="1"/>
  <c r="AQ205" i="1"/>
  <c r="CA141" i="1"/>
  <c r="BW139" i="1"/>
  <c r="BX139" i="1" s="1"/>
  <c r="BZ139" i="1" s="1"/>
  <c r="BR139" i="1"/>
  <c r="CH141" i="1"/>
  <c r="BF137" i="1"/>
  <c r="BH136" i="1"/>
  <c r="BG136" i="1"/>
  <c r="CQ138" i="1"/>
  <c r="CN138" i="1"/>
  <c r="CJ139" i="1"/>
  <c r="CI139" i="1"/>
  <c r="AJ140" i="1"/>
  <c r="AY139" i="1"/>
  <c r="BB139" i="1" s="1"/>
  <c r="BA138" i="1"/>
  <c r="BI139" i="1"/>
  <c r="DF139" i="1"/>
  <c r="AM142" i="1"/>
  <c r="BU142" i="1" s="1"/>
  <c r="CK141" i="1"/>
  <c r="AO140" i="1"/>
  <c r="AP138" i="1"/>
  <c r="BJ138" i="1" s="1"/>
  <c r="CL137" i="1"/>
  <c r="BK137" i="1"/>
  <c r="BN137" i="1" l="1"/>
  <c r="BO137" i="1"/>
  <c r="CC205" i="1"/>
  <c r="AQ206" i="1"/>
  <c r="CA142" i="1"/>
  <c r="BW140" i="1"/>
  <c r="BX140" i="1" s="1"/>
  <c r="BZ140" i="1" s="1"/>
  <c r="BR140" i="1"/>
  <c r="CH142" i="1"/>
  <c r="BF138" i="1"/>
  <c r="BH137" i="1"/>
  <c r="BG137" i="1"/>
  <c r="BA139" i="1"/>
  <c r="CJ140" i="1"/>
  <c r="AJ141" i="1"/>
  <c r="CI140" i="1"/>
  <c r="AY140" i="1"/>
  <c r="BB140" i="1" s="1"/>
  <c r="CN139" i="1"/>
  <c r="CQ139" i="1"/>
  <c r="AM143" i="1"/>
  <c r="BU143" i="1" s="1"/>
  <c r="CK142" i="1"/>
  <c r="BI140" i="1"/>
  <c r="DF140" i="1"/>
  <c r="AP139" i="1"/>
  <c r="BJ139" i="1" s="1"/>
  <c r="CL138" i="1"/>
  <c r="BK138" i="1"/>
  <c r="AO141" i="1"/>
  <c r="BN138" i="1" l="1"/>
  <c r="BO138" i="1"/>
  <c r="CC206" i="1"/>
  <c r="AQ207" i="1"/>
  <c r="CE205" i="1"/>
  <c r="CF205" i="1" s="1"/>
  <c r="CD194" i="1"/>
  <c r="CA143" i="1"/>
  <c r="BW141" i="1"/>
  <c r="BX141" i="1" s="1"/>
  <c r="BZ141" i="1" s="1"/>
  <c r="BR141" i="1"/>
  <c r="CH143" i="1"/>
  <c r="BH138" i="1"/>
  <c r="BG138" i="1"/>
  <c r="BK139" i="1"/>
  <c r="BF139" i="1"/>
  <c r="CJ141" i="1"/>
  <c r="CI141" i="1"/>
  <c r="AJ142" i="1"/>
  <c r="AY141" i="1"/>
  <c r="CN140" i="1"/>
  <c r="CQ140" i="1"/>
  <c r="BA140" i="1"/>
  <c r="BI141" i="1"/>
  <c r="DF141" i="1"/>
  <c r="AM144" i="1"/>
  <c r="BU144" i="1" s="1"/>
  <c r="CK143" i="1"/>
  <c r="AP140" i="1"/>
  <c r="BJ140" i="1" s="1"/>
  <c r="CL139" i="1"/>
  <c r="AO142" i="1"/>
  <c r="BN139" i="1" l="1"/>
  <c r="BO139" i="1"/>
  <c r="CC207" i="1"/>
  <c r="CE207" i="1" s="1"/>
  <c r="CF207" i="1" s="1"/>
  <c r="AQ208" i="1"/>
  <c r="CE206" i="1"/>
  <c r="CF206" i="1" s="1"/>
  <c r="CA144" i="1"/>
  <c r="BW142" i="1"/>
  <c r="BX142" i="1" s="1"/>
  <c r="BZ142" i="1" s="1"/>
  <c r="BR142" i="1"/>
  <c r="CH144" i="1"/>
  <c r="BH139" i="1"/>
  <c r="BG139" i="1"/>
  <c r="BK140" i="1"/>
  <c r="BF140" i="1"/>
  <c r="BA141" i="1"/>
  <c r="BB141" i="1"/>
  <c r="CJ142" i="1"/>
  <c r="CI142" i="1"/>
  <c r="AJ143" i="1"/>
  <c r="AY142" i="1"/>
  <c r="BB142" i="1" s="1"/>
  <c r="CN141" i="1"/>
  <c r="CQ141" i="1"/>
  <c r="AM145" i="1"/>
  <c r="BU145" i="1" s="1"/>
  <c r="CA145" i="1" s="1"/>
  <c r="CB134" i="1" s="1"/>
  <c r="CK144" i="1"/>
  <c r="BI142" i="1"/>
  <c r="DF142" i="1"/>
  <c r="AO143" i="1"/>
  <c r="AP141" i="1"/>
  <c r="BJ141" i="1" s="1"/>
  <c r="CL140" i="1"/>
  <c r="BN140" i="1" l="1"/>
  <c r="BO140" i="1"/>
  <c r="CC208" i="1"/>
  <c r="AQ209" i="1"/>
  <c r="BW143" i="1"/>
  <c r="BX143" i="1" s="1"/>
  <c r="BZ143" i="1" s="1"/>
  <c r="BR143" i="1"/>
  <c r="CG134" i="1"/>
  <c r="BV134" i="1"/>
  <c r="BF141" i="1"/>
  <c r="BH140" i="1"/>
  <c r="BG140" i="1"/>
  <c r="CJ143" i="1"/>
  <c r="AJ144" i="1"/>
  <c r="CI143" i="1"/>
  <c r="AY143" i="1"/>
  <c r="BB143" i="1" s="1"/>
  <c r="CQ142" i="1"/>
  <c r="CN142" i="1"/>
  <c r="BA142" i="1"/>
  <c r="BI143" i="1"/>
  <c r="DF143" i="1"/>
  <c r="AM146" i="1"/>
  <c r="BU146" i="1" s="1"/>
  <c r="CK145" i="1"/>
  <c r="CZ134" i="1" s="1"/>
  <c r="AO144" i="1"/>
  <c r="AP142" i="1"/>
  <c r="BJ142" i="1" s="1"/>
  <c r="CL141" i="1"/>
  <c r="BK141" i="1"/>
  <c r="BN141" i="1" l="1"/>
  <c r="BO141" i="1"/>
  <c r="CC209" i="1"/>
  <c r="CE209" i="1" s="1"/>
  <c r="CF209" i="1" s="1"/>
  <c r="AQ210" i="1"/>
  <c r="CE208" i="1"/>
  <c r="CF208" i="1" s="1"/>
  <c r="CA146" i="1"/>
  <c r="BW144" i="1"/>
  <c r="BX144" i="1" s="1"/>
  <c r="BZ144" i="1" s="1"/>
  <c r="BR144" i="1"/>
  <c r="CH145" i="1"/>
  <c r="CH146" i="1" s="1"/>
  <c r="BF142" i="1"/>
  <c r="BH141" i="1"/>
  <c r="BG141" i="1"/>
  <c r="CN143" i="1"/>
  <c r="CQ143" i="1"/>
  <c r="CJ144" i="1"/>
  <c r="CI144" i="1"/>
  <c r="AJ145" i="1"/>
  <c r="AY144" i="1"/>
  <c r="BB144" i="1" s="1"/>
  <c r="BA143" i="1"/>
  <c r="BI144" i="1"/>
  <c r="DF144" i="1"/>
  <c r="AM147" i="1"/>
  <c r="BU147" i="1" s="1"/>
  <c r="CK146" i="1"/>
  <c r="AP143" i="1"/>
  <c r="BJ143" i="1" s="1"/>
  <c r="CL142" i="1"/>
  <c r="BK142" i="1"/>
  <c r="AO145" i="1"/>
  <c r="BN142" i="1" l="1"/>
  <c r="BO142" i="1"/>
  <c r="CC210" i="1"/>
  <c r="AQ211" i="1"/>
  <c r="CA147" i="1"/>
  <c r="BW145" i="1"/>
  <c r="BX145" i="1" s="1"/>
  <c r="BR145" i="1"/>
  <c r="BZ145" i="1"/>
  <c r="BY134" i="1"/>
  <c r="CH147" i="1"/>
  <c r="BH142" i="1"/>
  <c r="BG142" i="1"/>
  <c r="BK143" i="1"/>
  <c r="BF143" i="1"/>
  <c r="BA144" i="1"/>
  <c r="CN144" i="1"/>
  <c r="CQ144" i="1"/>
  <c r="CJ145" i="1"/>
  <c r="AJ146" i="1"/>
  <c r="CI145" i="1"/>
  <c r="AY145" i="1"/>
  <c r="BI145" i="1"/>
  <c r="DF145" i="1"/>
  <c r="AM148" i="1"/>
  <c r="BU148" i="1" s="1"/>
  <c r="CK147" i="1"/>
  <c r="AP144" i="1"/>
  <c r="BJ144" i="1" s="1"/>
  <c r="CL143" i="1"/>
  <c r="AO146" i="1"/>
  <c r="BN143" i="1" l="1"/>
  <c r="BO143" i="1"/>
  <c r="CC211" i="1"/>
  <c r="CE211" i="1" s="1"/>
  <c r="CF211" i="1" s="1"/>
  <c r="AQ212" i="1"/>
  <c r="CE210" i="1"/>
  <c r="CF210" i="1" s="1"/>
  <c r="CA148" i="1"/>
  <c r="BW146" i="1"/>
  <c r="BX146" i="1" s="1"/>
  <c r="BR146" i="1"/>
  <c r="BZ146" i="1"/>
  <c r="CH148" i="1"/>
  <c r="BF144" i="1"/>
  <c r="BG143" i="1"/>
  <c r="BH143" i="1"/>
  <c r="CJ146" i="1"/>
  <c r="CI146" i="1"/>
  <c r="AJ147" i="1"/>
  <c r="AY146" i="1"/>
  <c r="BB146" i="1" s="1"/>
  <c r="CN145" i="1"/>
  <c r="CQ145" i="1"/>
  <c r="CV135" i="1"/>
  <c r="BB145" i="1"/>
  <c r="AZ134" i="1"/>
  <c r="BA145" i="1"/>
  <c r="BC134" i="1"/>
  <c r="AM149" i="1"/>
  <c r="BU149" i="1" s="1"/>
  <c r="CK148" i="1"/>
  <c r="AO147" i="1"/>
  <c r="AP145" i="1"/>
  <c r="BJ145" i="1" s="1"/>
  <c r="CL144" i="1"/>
  <c r="BK144" i="1"/>
  <c r="BN144" i="1" l="1"/>
  <c r="BO144" i="1"/>
  <c r="CC212" i="1"/>
  <c r="CE212" i="1" s="1"/>
  <c r="CF212" i="1" s="1"/>
  <c r="AQ213" i="1"/>
  <c r="CA149" i="1"/>
  <c r="BW147" i="1"/>
  <c r="BX147" i="1" s="1"/>
  <c r="BZ147" i="1" s="1"/>
  <c r="BR147" i="1"/>
  <c r="CH149" i="1"/>
  <c r="BH144" i="1"/>
  <c r="BG144" i="1"/>
  <c r="BK145" i="1"/>
  <c r="BF145" i="1"/>
  <c r="BA146" i="1"/>
  <c r="CJ147" i="1"/>
  <c r="CI147" i="1"/>
  <c r="AJ148" i="1"/>
  <c r="AY147" i="1"/>
  <c r="BB147" i="1" s="1"/>
  <c r="CW134" i="1"/>
  <c r="CY134" i="1"/>
  <c r="CN146" i="1"/>
  <c r="CQ146" i="1"/>
  <c r="AM150" i="1"/>
  <c r="BU150" i="1" s="1"/>
  <c r="CK149" i="1"/>
  <c r="AP146" i="1"/>
  <c r="BJ146" i="1" s="1"/>
  <c r="CL145" i="1"/>
  <c r="DA134" i="1" s="1"/>
  <c r="AO148" i="1"/>
  <c r="BN145" i="1" l="1"/>
  <c r="BO145" i="1"/>
  <c r="CC213" i="1"/>
  <c r="CE213" i="1" s="1"/>
  <c r="CF213" i="1" s="1"/>
  <c r="AQ214" i="1"/>
  <c r="CA150" i="1"/>
  <c r="BW148" i="1"/>
  <c r="BX148" i="1" s="1"/>
  <c r="BZ148" i="1" s="1"/>
  <c r="BR148" i="1"/>
  <c r="CH150" i="1"/>
  <c r="BH145" i="1"/>
  <c r="BG145" i="1"/>
  <c r="BF146" i="1"/>
  <c r="CO134" i="1"/>
  <c r="CR134" i="1"/>
  <c r="CJ148" i="1"/>
  <c r="AJ149" i="1"/>
  <c r="CI148" i="1"/>
  <c r="AY148" i="1"/>
  <c r="BB148" i="1" s="1"/>
  <c r="CN147" i="1"/>
  <c r="CQ147" i="1"/>
  <c r="BA147" i="1"/>
  <c r="DF148" i="1"/>
  <c r="BI148" i="1"/>
  <c r="AM151" i="1"/>
  <c r="BU151" i="1" s="1"/>
  <c r="CA151" i="1" s="1"/>
  <c r="CK150" i="1"/>
  <c r="AO149" i="1"/>
  <c r="AP147" i="1"/>
  <c r="BJ147" i="1" s="1"/>
  <c r="CL146" i="1"/>
  <c r="CC214" i="1" l="1"/>
  <c r="CE214" i="1" s="1"/>
  <c r="CF214" i="1" s="1"/>
  <c r="AQ215" i="1"/>
  <c r="BW149" i="1"/>
  <c r="BX149" i="1" s="1"/>
  <c r="BZ149" i="1" s="1"/>
  <c r="BR149" i="1"/>
  <c r="CH151" i="1"/>
  <c r="BG146" i="1"/>
  <c r="BF147" i="1"/>
  <c r="CN148" i="1"/>
  <c r="CQ148" i="1"/>
  <c r="CJ149" i="1"/>
  <c r="CI149" i="1"/>
  <c r="AJ150" i="1"/>
  <c r="AY149" i="1"/>
  <c r="BA148" i="1"/>
  <c r="AM152" i="1"/>
  <c r="BU152" i="1" s="1"/>
  <c r="CK151" i="1"/>
  <c r="DF149" i="1"/>
  <c r="BI149" i="1"/>
  <c r="AP148" i="1"/>
  <c r="BJ148" i="1" s="1"/>
  <c r="CL147" i="1"/>
  <c r="AO150" i="1"/>
  <c r="CC215" i="1" l="1"/>
  <c r="CE215" i="1" s="1"/>
  <c r="CF215" i="1" s="1"/>
  <c r="AQ216" i="1"/>
  <c r="CA152" i="1"/>
  <c r="BW150" i="1"/>
  <c r="BX150" i="1" s="1"/>
  <c r="BZ150" i="1" s="1"/>
  <c r="BR150" i="1"/>
  <c r="CH152" i="1"/>
  <c r="BG147" i="1"/>
  <c r="BK148" i="1"/>
  <c r="BF148" i="1"/>
  <c r="CJ150" i="1"/>
  <c r="AJ151" i="1"/>
  <c r="CI150" i="1"/>
  <c r="AY150" i="1"/>
  <c r="BB150" i="1" s="1"/>
  <c r="CN149" i="1"/>
  <c r="CQ149" i="1"/>
  <c r="BA149" i="1"/>
  <c r="BB149" i="1"/>
  <c r="AM153" i="1"/>
  <c r="BU153" i="1" s="1"/>
  <c r="CK152" i="1"/>
  <c r="BI150" i="1"/>
  <c r="DF150" i="1"/>
  <c r="AP149" i="1"/>
  <c r="BJ149" i="1" s="1"/>
  <c r="CL148" i="1"/>
  <c r="AO151" i="1"/>
  <c r="BN148" i="1" l="1"/>
  <c r="BO148" i="1"/>
  <c r="CC216" i="1"/>
  <c r="CE216" i="1" s="1"/>
  <c r="CF216" i="1" s="1"/>
  <c r="AQ217" i="1"/>
  <c r="CA153" i="1"/>
  <c r="BW151" i="1"/>
  <c r="BX151" i="1" s="1"/>
  <c r="BZ151" i="1" s="1"/>
  <c r="BR151" i="1"/>
  <c r="CH153" i="1"/>
  <c r="BF149" i="1"/>
  <c r="BG148" i="1"/>
  <c r="BH148" i="1"/>
  <c r="CN150" i="1"/>
  <c r="CQ150" i="1"/>
  <c r="CJ151" i="1"/>
  <c r="CI151" i="1"/>
  <c r="AJ152" i="1"/>
  <c r="AY151" i="1"/>
  <c r="BB151" i="1" s="1"/>
  <c r="BA150" i="1"/>
  <c r="BI151" i="1"/>
  <c r="DF151" i="1"/>
  <c r="AM154" i="1"/>
  <c r="BU154" i="1" s="1"/>
  <c r="CK153" i="1"/>
  <c r="AO152" i="1"/>
  <c r="AP150" i="1"/>
  <c r="BJ150" i="1" s="1"/>
  <c r="BK149" i="1"/>
  <c r="CL149" i="1"/>
  <c r="BN149" i="1" l="1"/>
  <c r="BO149" i="1"/>
  <c r="CC217" i="1"/>
  <c r="AQ218" i="1"/>
  <c r="CH154" i="1"/>
  <c r="CA154" i="1"/>
  <c r="BW152" i="1"/>
  <c r="BX152" i="1" s="1"/>
  <c r="BZ152" i="1" s="1"/>
  <c r="BR152" i="1"/>
  <c r="BG149" i="1"/>
  <c r="BH149" i="1"/>
  <c r="BK150" i="1"/>
  <c r="BF150" i="1"/>
  <c r="BA151" i="1"/>
  <c r="CJ152" i="1"/>
  <c r="AJ153" i="1"/>
  <c r="CI152" i="1"/>
  <c r="AY152" i="1"/>
  <c r="CN151" i="1"/>
  <c r="CQ151" i="1"/>
  <c r="BI152" i="1"/>
  <c r="DF152" i="1"/>
  <c r="AM155" i="1"/>
  <c r="BU155" i="1" s="1"/>
  <c r="CK154" i="1"/>
  <c r="AP151" i="1"/>
  <c r="BJ151" i="1" s="1"/>
  <c r="CL150" i="1"/>
  <c r="AO153" i="1"/>
  <c r="BN150" i="1" l="1"/>
  <c r="BO150" i="1"/>
  <c r="CC218" i="1"/>
  <c r="AQ219" i="1"/>
  <c r="CE217" i="1"/>
  <c r="CF217" i="1" s="1"/>
  <c r="CD206" i="1"/>
  <c r="CH155" i="1"/>
  <c r="CA155" i="1"/>
  <c r="BW153" i="1"/>
  <c r="BX153" i="1" s="1"/>
  <c r="BZ153" i="1" s="1"/>
  <c r="BR153" i="1"/>
  <c r="BF151" i="1"/>
  <c r="BH150" i="1"/>
  <c r="BG150" i="1"/>
  <c r="CJ153" i="1"/>
  <c r="CI153" i="1"/>
  <c r="AJ154" i="1"/>
  <c r="AY153" i="1"/>
  <c r="BB153" i="1" s="1"/>
  <c r="BB152" i="1"/>
  <c r="BA152" i="1"/>
  <c r="CQ152" i="1"/>
  <c r="CN152" i="1"/>
  <c r="AM156" i="1"/>
  <c r="BU156" i="1" s="1"/>
  <c r="CK155" i="1"/>
  <c r="BI153" i="1"/>
  <c r="DF153" i="1"/>
  <c r="AO154" i="1"/>
  <c r="AP152" i="1"/>
  <c r="BJ152" i="1" s="1"/>
  <c r="CL151" i="1"/>
  <c r="BK151" i="1"/>
  <c r="BN151" i="1" l="1"/>
  <c r="BO151" i="1"/>
  <c r="CC219" i="1"/>
  <c r="AQ220" i="1"/>
  <c r="CE218" i="1"/>
  <c r="CF218" i="1" s="1"/>
  <c r="CH156" i="1"/>
  <c r="CA156" i="1"/>
  <c r="BW154" i="1"/>
  <c r="BX154" i="1" s="1"/>
  <c r="BZ154" i="1" s="1"/>
  <c r="BR154" i="1"/>
  <c r="BG151" i="1"/>
  <c r="BH151" i="1"/>
  <c r="BK152" i="1"/>
  <c r="BF152" i="1"/>
  <c r="BA153" i="1"/>
  <c r="CJ154" i="1"/>
  <c r="CI154" i="1"/>
  <c r="AJ155" i="1"/>
  <c r="AY154" i="1"/>
  <c r="BB154" i="1" s="1"/>
  <c r="CN153" i="1"/>
  <c r="CQ153" i="1"/>
  <c r="BI154" i="1"/>
  <c r="DF154" i="1"/>
  <c r="AM157" i="1"/>
  <c r="BU157" i="1" s="1"/>
  <c r="CK156" i="1"/>
  <c r="AO155" i="1"/>
  <c r="AP153" i="1"/>
  <c r="BJ153" i="1" s="1"/>
  <c r="CL152" i="1"/>
  <c r="BN152" i="1" l="1"/>
  <c r="BO152" i="1"/>
  <c r="CC220" i="1"/>
  <c r="CE220" i="1" s="1"/>
  <c r="CF220" i="1" s="1"/>
  <c r="AQ221" i="1"/>
  <c r="CE219" i="1"/>
  <c r="CF219" i="1" s="1"/>
  <c r="CG146" i="1"/>
  <c r="CA157" i="1"/>
  <c r="CB146" i="1" s="1"/>
  <c r="BW155" i="1"/>
  <c r="BX155" i="1" s="1"/>
  <c r="BZ155" i="1" s="1"/>
  <c r="BR155" i="1"/>
  <c r="CH157" i="1"/>
  <c r="BV146" i="1"/>
  <c r="BF153" i="1"/>
  <c r="BH152" i="1"/>
  <c r="BG152" i="1"/>
  <c r="CJ155" i="1"/>
  <c r="CI155" i="1"/>
  <c r="AJ156" i="1"/>
  <c r="AY155" i="1"/>
  <c r="BB155" i="1" s="1"/>
  <c r="CQ154" i="1"/>
  <c r="CN154" i="1"/>
  <c r="BA154" i="1"/>
  <c r="AM158" i="1"/>
  <c r="BU158" i="1" s="1"/>
  <c r="CA158" i="1" s="1"/>
  <c r="CK157" i="1"/>
  <c r="CZ146" i="1" s="1"/>
  <c r="DF155" i="1"/>
  <c r="BI155" i="1"/>
  <c r="AP154" i="1"/>
  <c r="BJ154" i="1" s="1"/>
  <c r="BK153" i="1"/>
  <c r="CL153" i="1"/>
  <c r="AO156" i="1"/>
  <c r="BN153" i="1" l="1"/>
  <c r="BO153" i="1"/>
  <c r="CC221" i="1"/>
  <c r="CE221" i="1" s="1"/>
  <c r="CF221" i="1" s="1"/>
  <c r="AQ222" i="1"/>
  <c r="BW156" i="1"/>
  <c r="BX156" i="1" s="1"/>
  <c r="BZ156" i="1" s="1"/>
  <c r="BR156" i="1"/>
  <c r="CH158" i="1"/>
  <c r="BH153" i="1"/>
  <c r="BG153" i="1"/>
  <c r="BK154" i="1"/>
  <c r="BF154" i="1"/>
  <c r="CJ156" i="1"/>
  <c r="CI156" i="1"/>
  <c r="AJ157" i="1"/>
  <c r="AY156" i="1"/>
  <c r="BA155" i="1"/>
  <c r="CQ155" i="1"/>
  <c r="CN155" i="1"/>
  <c r="BI156" i="1"/>
  <c r="DF156" i="1"/>
  <c r="AM159" i="1"/>
  <c r="BU159" i="1" s="1"/>
  <c r="CK158" i="1"/>
  <c r="AO157" i="1"/>
  <c r="AP155" i="1"/>
  <c r="BJ155" i="1" s="1"/>
  <c r="CL154" i="1"/>
  <c r="BN154" i="1" l="1"/>
  <c r="BO154" i="1"/>
  <c r="CC222" i="1"/>
  <c r="CE222" i="1" s="1"/>
  <c r="CF222" i="1" s="1"/>
  <c r="AQ223" i="1"/>
  <c r="CA159" i="1"/>
  <c r="BW157" i="1"/>
  <c r="BX157" i="1" s="1"/>
  <c r="BR157" i="1"/>
  <c r="BZ157" i="1"/>
  <c r="BY146" i="1"/>
  <c r="CH159" i="1"/>
  <c r="BF155" i="1"/>
  <c r="BH154" i="1"/>
  <c r="BG154" i="1"/>
  <c r="BA156" i="1"/>
  <c r="BB156" i="1"/>
  <c r="CJ157" i="1"/>
  <c r="AJ158" i="1"/>
  <c r="CI157" i="1"/>
  <c r="AY157" i="1"/>
  <c r="BB157" i="1" s="1"/>
  <c r="CQ156" i="1"/>
  <c r="CN156" i="1"/>
  <c r="DF157" i="1"/>
  <c r="BI157" i="1"/>
  <c r="AM160" i="1"/>
  <c r="BU160" i="1" s="1"/>
  <c r="CK159" i="1"/>
  <c r="AO158" i="1"/>
  <c r="AP156" i="1"/>
  <c r="BJ156" i="1" s="1"/>
  <c r="CL155" i="1"/>
  <c r="BK155" i="1"/>
  <c r="BN155" i="1" l="1"/>
  <c r="BO155" i="1"/>
  <c r="CC223" i="1"/>
  <c r="CE223" i="1" s="1"/>
  <c r="CF223" i="1" s="1"/>
  <c r="AQ224" i="1"/>
  <c r="CH160" i="1"/>
  <c r="CA160" i="1"/>
  <c r="BW158" i="1"/>
  <c r="BX158" i="1" s="1"/>
  <c r="BR158" i="1"/>
  <c r="BZ158" i="1"/>
  <c r="BG155" i="1"/>
  <c r="BH155" i="1"/>
  <c r="BK156" i="1"/>
  <c r="BF156" i="1"/>
  <c r="AZ146" i="1"/>
  <c r="BC146" i="1"/>
  <c r="CJ158" i="1"/>
  <c r="AJ159" i="1"/>
  <c r="CI158" i="1"/>
  <c r="AY158" i="1"/>
  <c r="BB158" i="1" s="1"/>
  <c r="CQ157" i="1"/>
  <c r="CN157" i="1"/>
  <c r="CV147" i="1"/>
  <c r="BA157" i="1"/>
  <c r="AM161" i="1"/>
  <c r="BU161" i="1" s="1"/>
  <c r="CK160" i="1"/>
  <c r="AO159" i="1"/>
  <c r="AP157" i="1"/>
  <c r="BJ157" i="1" s="1"/>
  <c r="CL156" i="1"/>
  <c r="BN156" i="1" l="1"/>
  <c r="BO156" i="1"/>
  <c r="CC224" i="1"/>
  <c r="CE224" i="1" s="1"/>
  <c r="CF224" i="1" s="1"/>
  <c r="AQ225" i="1"/>
  <c r="CH161" i="1"/>
  <c r="CA161" i="1"/>
  <c r="BW159" i="1"/>
  <c r="BX159" i="1" s="1"/>
  <c r="BZ159" i="1" s="1"/>
  <c r="BR159" i="1"/>
  <c r="BF157" i="1"/>
  <c r="BH156" i="1"/>
  <c r="BG156" i="1"/>
  <c r="CJ159" i="1"/>
  <c r="AJ160" i="1"/>
  <c r="CI159" i="1"/>
  <c r="AY159" i="1"/>
  <c r="CW146" i="1"/>
  <c r="CY146" i="1"/>
  <c r="CQ158" i="1"/>
  <c r="CN158" i="1"/>
  <c r="BA158" i="1"/>
  <c r="AM162" i="1"/>
  <c r="BU162" i="1" s="1"/>
  <c r="CK161" i="1"/>
  <c r="AP158" i="1"/>
  <c r="BJ158" i="1" s="1"/>
  <c r="CL157" i="1"/>
  <c r="DA146" i="1" s="1"/>
  <c r="BK157" i="1"/>
  <c r="AO160" i="1"/>
  <c r="BN157" i="1" l="1"/>
  <c r="BO157" i="1"/>
  <c r="CC225" i="1"/>
  <c r="CE225" i="1" s="1"/>
  <c r="CF225" i="1" s="1"/>
  <c r="AQ226" i="1"/>
  <c r="CH162" i="1"/>
  <c r="CA162" i="1"/>
  <c r="BW160" i="1"/>
  <c r="BX160" i="1" s="1"/>
  <c r="BZ160" i="1" s="1"/>
  <c r="BR160" i="1"/>
  <c r="BF158" i="1"/>
  <c r="BH157" i="1"/>
  <c r="BG157" i="1"/>
  <c r="BA159" i="1"/>
  <c r="BB159" i="1"/>
  <c r="CJ160" i="1"/>
  <c r="CI160" i="1"/>
  <c r="AJ161" i="1"/>
  <c r="AY160" i="1"/>
  <c r="BB160" i="1" s="1"/>
  <c r="CN159" i="1"/>
  <c r="CQ159" i="1"/>
  <c r="CR146" i="1"/>
  <c r="CO146" i="1"/>
  <c r="AM163" i="1"/>
  <c r="BU163" i="1" s="1"/>
  <c r="CK162" i="1"/>
  <c r="BI160" i="1"/>
  <c r="DF160" i="1"/>
  <c r="AP159" i="1"/>
  <c r="BJ159" i="1" s="1"/>
  <c r="CL158" i="1"/>
  <c r="AO161" i="1"/>
  <c r="CC226" i="1" l="1"/>
  <c r="CE226" i="1" s="1"/>
  <c r="CF226" i="1" s="1"/>
  <c r="AQ227" i="1"/>
  <c r="CH163" i="1"/>
  <c r="CA163" i="1"/>
  <c r="BW161" i="1"/>
  <c r="BX161" i="1" s="1"/>
  <c r="BZ161" i="1" s="1"/>
  <c r="BR161" i="1"/>
  <c r="BG158" i="1"/>
  <c r="BF159" i="1"/>
  <c r="CJ161" i="1"/>
  <c r="CI161" i="1"/>
  <c r="AJ162" i="1"/>
  <c r="AY161" i="1"/>
  <c r="BB161" i="1" s="1"/>
  <c r="CN160" i="1"/>
  <c r="CQ160" i="1"/>
  <c r="BA160" i="1"/>
  <c r="BI161" i="1"/>
  <c r="DF161" i="1"/>
  <c r="AM164" i="1"/>
  <c r="BU164" i="1" s="1"/>
  <c r="CK163" i="1"/>
  <c r="AO162" i="1"/>
  <c r="AP160" i="1"/>
  <c r="BJ160" i="1" s="1"/>
  <c r="CL159" i="1"/>
  <c r="CC227" i="1" l="1"/>
  <c r="CE227" i="1" s="1"/>
  <c r="CF227" i="1" s="1"/>
  <c r="AQ228" i="1"/>
  <c r="CH164" i="1"/>
  <c r="CA164" i="1"/>
  <c r="BW162" i="1"/>
  <c r="BX162" i="1" s="1"/>
  <c r="BZ162" i="1" s="1"/>
  <c r="BR162" i="1"/>
  <c r="BK160" i="1"/>
  <c r="BF160" i="1"/>
  <c r="BG159" i="1"/>
  <c r="CJ162" i="1"/>
  <c r="AJ163" i="1"/>
  <c r="CI162" i="1"/>
  <c r="AY162" i="1"/>
  <c r="BB162" i="1" s="1"/>
  <c r="BA161" i="1"/>
  <c r="CQ161" i="1"/>
  <c r="CN161" i="1"/>
  <c r="BI162" i="1"/>
  <c r="DF162" i="1"/>
  <c r="AM165" i="1"/>
  <c r="BU165" i="1" s="1"/>
  <c r="CK164" i="1"/>
  <c r="AP161" i="1"/>
  <c r="BJ161" i="1" s="1"/>
  <c r="CL160" i="1"/>
  <c r="AO163" i="1"/>
  <c r="BN160" i="1" l="1"/>
  <c r="BO160" i="1"/>
  <c r="CC228" i="1"/>
  <c r="CE228" i="1" s="1"/>
  <c r="CF228" i="1" s="1"/>
  <c r="AQ229" i="1"/>
  <c r="CH165" i="1"/>
  <c r="CA165" i="1"/>
  <c r="BW163" i="1"/>
  <c r="BX163" i="1" s="1"/>
  <c r="BZ163" i="1" s="1"/>
  <c r="BR163" i="1"/>
  <c r="BF161" i="1"/>
  <c r="BG160" i="1"/>
  <c r="BH160" i="1"/>
  <c r="BA162" i="1"/>
  <c r="CJ163" i="1"/>
  <c r="AJ164" i="1"/>
  <c r="CI163" i="1"/>
  <c r="AY163" i="1"/>
  <c r="CQ162" i="1"/>
  <c r="CN162" i="1"/>
  <c r="AM166" i="1"/>
  <c r="BU166" i="1" s="1"/>
  <c r="CK165" i="1"/>
  <c r="BI163" i="1"/>
  <c r="DF163" i="1"/>
  <c r="AO164" i="1"/>
  <c r="AP162" i="1"/>
  <c r="BJ162" i="1" s="1"/>
  <c r="CL161" i="1"/>
  <c r="BK161" i="1"/>
  <c r="BN161" i="1" l="1"/>
  <c r="BO161" i="1"/>
  <c r="CC229" i="1"/>
  <c r="AQ230" i="1"/>
  <c r="CH166" i="1"/>
  <c r="CA166" i="1"/>
  <c r="BW164" i="1"/>
  <c r="BX164" i="1" s="1"/>
  <c r="BZ164" i="1" s="1"/>
  <c r="BR164" i="1"/>
  <c r="BF162" i="1"/>
  <c r="BH161" i="1"/>
  <c r="BG161" i="1"/>
  <c r="BA163" i="1"/>
  <c r="BB163" i="1"/>
  <c r="CJ164" i="1"/>
  <c r="AJ165" i="1"/>
  <c r="CI164" i="1"/>
  <c r="AY164" i="1"/>
  <c r="BB164" i="1" s="1"/>
  <c r="CN163" i="1"/>
  <c r="CQ163" i="1"/>
  <c r="DF164" i="1"/>
  <c r="BI164" i="1"/>
  <c r="AM167" i="1"/>
  <c r="BU167" i="1" s="1"/>
  <c r="CK166" i="1"/>
  <c r="AO165" i="1"/>
  <c r="AP163" i="1"/>
  <c r="BJ163" i="1" s="1"/>
  <c r="BK162" i="1"/>
  <c r="CL162" i="1"/>
  <c r="BN162" i="1" l="1"/>
  <c r="BO162" i="1"/>
  <c r="CC230" i="1"/>
  <c r="AQ231" i="1"/>
  <c r="CE229" i="1"/>
  <c r="CF229" i="1" s="1"/>
  <c r="CD218" i="1"/>
  <c r="CH167" i="1"/>
  <c r="CA167" i="1"/>
  <c r="BW165" i="1"/>
  <c r="BX165" i="1" s="1"/>
  <c r="BZ165" i="1" s="1"/>
  <c r="BR165" i="1"/>
  <c r="BF163" i="1"/>
  <c r="BH162" i="1"/>
  <c r="BG162" i="1"/>
  <c r="CJ165" i="1"/>
  <c r="CI165" i="1"/>
  <c r="AJ166" i="1"/>
  <c r="AY165" i="1"/>
  <c r="BB165" i="1" s="1"/>
  <c r="CQ164" i="1"/>
  <c r="CN164" i="1"/>
  <c r="BA164" i="1"/>
  <c r="AM168" i="1"/>
  <c r="BU168" i="1" s="1"/>
  <c r="CK167" i="1"/>
  <c r="BI165" i="1"/>
  <c r="DF165" i="1"/>
  <c r="AP164" i="1"/>
  <c r="BJ164" i="1" s="1"/>
  <c r="BK163" i="1"/>
  <c r="CL163" i="1"/>
  <c r="AO166" i="1"/>
  <c r="BN163" i="1" l="1"/>
  <c r="BO163" i="1"/>
  <c r="CC231" i="1"/>
  <c r="CE231" i="1" s="1"/>
  <c r="CF231" i="1" s="1"/>
  <c r="AQ232" i="1"/>
  <c r="CE230" i="1"/>
  <c r="CF230" i="1" s="1"/>
  <c r="CH168" i="1"/>
  <c r="CA168" i="1"/>
  <c r="BW166" i="1"/>
  <c r="BX166" i="1" s="1"/>
  <c r="BZ166" i="1" s="1"/>
  <c r="BR166" i="1"/>
  <c r="BH163" i="1"/>
  <c r="BG163" i="1"/>
  <c r="BK164" i="1"/>
  <c r="BF164" i="1"/>
  <c r="CJ166" i="1"/>
  <c r="CI166" i="1"/>
  <c r="AJ167" i="1"/>
  <c r="AY166" i="1"/>
  <c r="BB166" i="1" s="1"/>
  <c r="BA165" i="1"/>
  <c r="CQ165" i="1"/>
  <c r="CN165" i="1"/>
  <c r="AM169" i="1"/>
  <c r="BU169" i="1" s="1"/>
  <c r="CA169" i="1" s="1"/>
  <c r="CB158" i="1" s="1"/>
  <c r="CK168" i="1"/>
  <c r="BI166" i="1"/>
  <c r="DF166" i="1"/>
  <c r="AO167" i="1"/>
  <c r="AP165" i="1"/>
  <c r="BJ165" i="1" s="1"/>
  <c r="CL164" i="1"/>
  <c r="BN164" i="1" l="1"/>
  <c r="BO164" i="1"/>
  <c r="CC232" i="1"/>
  <c r="AQ233" i="1"/>
  <c r="BW167" i="1"/>
  <c r="BX167" i="1" s="1"/>
  <c r="BZ167" i="1" s="1"/>
  <c r="BR167" i="1"/>
  <c r="BV158" i="1"/>
  <c r="BF165" i="1"/>
  <c r="BG164" i="1"/>
  <c r="BH164" i="1"/>
  <c r="BA166" i="1"/>
  <c r="CJ167" i="1"/>
  <c r="AJ168" i="1"/>
  <c r="CI167" i="1"/>
  <c r="AY167" i="1"/>
  <c r="CQ166" i="1"/>
  <c r="CN166" i="1"/>
  <c r="BI167" i="1"/>
  <c r="DF167" i="1"/>
  <c r="AM170" i="1"/>
  <c r="BU170" i="1" s="1"/>
  <c r="CA170" i="1" s="1"/>
  <c r="CK169" i="1"/>
  <c r="CZ158" i="1" s="1"/>
  <c r="AO168" i="1"/>
  <c r="AP166" i="1"/>
  <c r="BJ166" i="1" s="1"/>
  <c r="BK165" i="1"/>
  <c r="CL165" i="1"/>
  <c r="BN165" i="1" l="1"/>
  <c r="BO165" i="1"/>
  <c r="CC233" i="1"/>
  <c r="CE233" i="1" s="1"/>
  <c r="CF233" i="1" s="1"/>
  <c r="AQ234" i="1"/>
  <c r="CE232" i="1"/>
  <c r="CF232" i="1" s="1"/>
  <c r="BW168" i="1"/>
  <c r="BX168" i="1" s="1"/>
  <c r="BZ168" i="1" s="1"/>
  <c r="BR168" i="1"/>
  <c r="CG158" i="1"/>
  <c r="CH169" i="1"/>
  <c r="BF166" i="1"/>
  <c r="BG165" i="1"/>
  <c r="BH165" i="1"/>
  <c r="BB167" i="1"/>
  <c r="BA167" i="1"/>
  <c r="CJ168" i="1"/>
  <c r="CI168" i="1"/>
  <c r="AJ169" i="1"/>
  <c r="AY168" i="1"/>
  <c r="BB168" i="1" s="1"/>
  <c r="CN167" i="1"/>
  <c r="CQ167" i="1"/>
  <c r="AM171" i="1"/>
  <c r="BU171" i="1" s="1"/>
  <c r="CK170" i="1"/>
  <c r="BI168" i="1"/>
  <c r="DF168" i="1"/>
  <c r="AP167" i="1"/>
  <c r="BJ167" i="1" s="1"/>
  <c r="CL166" i="1"/>
  <c r="BK166" i="1"/>
  <c r="AO169" i="1"/>
  <c r="BN166" i="1" l="1"/>
  <c r="BO166" i="1"/>
  <c r="CC234" i="1"/>
  <c r="AQ235" i="1"/>
  <c r="CA171" i="1"/>
  <c r="BW169" i="1"/>
  <c r="BX169" i="1" s="1"/>
  <c r="BR169" i="1"/>
  <c r="BZ169" i="1"/>
  <c r="BY158" i="1"/>
  <c r="CH170" i="1"/>
  <c r="CH171" i="1" s="1"/>
  <c r="BF167" i="1"/>
  <c r="BH166" i="1"/>
  <c r="BG166" i="1"/>
  <c r="BA168" i="1"/>
  <c r="CQ168" i="1"/>
  <c r="CN168" i="1"/>
  <c r="CJ169" i="1"/>
  <c r="AJ170" i="1"/>
  <c r="CI169" i="1"/>
  <c r="AY169" i="1"/>
  <c r="AM172" i="1"/>
  <c r="BU172" i="1" s="1"/>
  <c r="CK171" i="1"/>
  <c r="BI169" i="1"/>
  <c r="DF169" i="1"/>
  <c r="AO170" i="1"/>
  <c r="AP168" i="1"/>
  <c r="BJ168" i="1" s="1"/>
  <c r="BK167" i="1"/>
  <c r="CL167" i="1"/>
  <c r="BN167" i="1" l="1"/>
  <c r="BO167" i="1"/>
  <c r="CC235" i="1"/>
  <c r="CE235" i="1" s="1"/>
  <c r="CF235" i="1" s="1"/>
  <c r="AQ236" i="1"/>
  <c r="CE234" i="1"/>
  <c r="CF234" i="1" s="1"/>
  <c r="CA172" i="1"/>
  <c r="BW170" i="1"/>
  <c r="BX170" i="1" s="1"/>
  <c r="BR170" i="1"/>
  <c r="BZ170" i="1"/>
  <c r="CH172" i="1"/>
  <c r="BF168" i="1"/>
  <c r="BG167" i="1"/>
  <c r="BH167" i="1"/>
  <c r="CN169" i="1"/>
  <c r="CQ169" i="1"/>
  <c r="CV159" i="1"/>
  <c r="BB169" i="1"/>
  <c r="AZ158" i="1"/>
  <c r="BA169" i="1"/>
  <c r="BC158" i="1"/>
  <c r="CJ170" i="1"/>
  <c r="AJ171" i="1"/>
  <c r="CI170" i="1"/>
  <c r="AY170" i="1"/>
  <c r="BB170" i="1" s="1"/>
  <c r="AM173" i="1"/>
  <c r="BU173" i="1" s="1"/>
  <c r="CK172" i="1"/>
  <c r="AP169" i="1"/>
  <c r="BJ169" i="1" s="1"/>
  <c r="CL168" i="1"/>
  <c r="BK168" i="1"/>
  <c r="AO171" i="1"/>
  <c r="BN168" i="1" l="1"/>
  <c r="BO168" i="1"/>
  <c r="CC236" i="1"/>
  <c r="CE236" i="1" s="1"/>
  <c r="CF236" i="1" s="1"/>
  <c r="AQ237" i="1"/>
  <c r="CA173" i="1"/>
  <c r="BW171" i="1"/>
  <c r="BX171" i="1" s="1"/>
  <c r="BZ171" i="1" s="1"/>
  <c r="BR171" i="1"/>
  <c r="CH173" i="1"/>
  <c r="BF169" i="1"/>
  <c r="BH168" i="1"/>
  <c r="BG168" i="1"/>
  <c r="BA170" i="1"/>
  <c r="CJ171" i="1"/>
  <c r="AJ172" i="1"/>
  <c r="CI171" i="1"/>
  <c r="AY171" i="1"/>
  <c r="CW158" i="1"/>
  <c r="CY158" i="1"/>
  <c r="CQ170" i="1"/>
  <c r="CN170" i="1"/>
  <c r="AM174" i="1"/>
  <c r="BU174" i="1" s="1"/>
  <c r="CK173" i="1"/>
  <c r="AO172" i="1"/>
  <c r="AP170" i="1"/>
  <c r="BJ170" i="1" s="1"/>
  <c r="BK169" i="1"/>
  <c r="CL169" i="1"/>
  <c r="DA158" i="1" s="1"/>
  <c r="BN169" i="1" l="1"/>
  <c r="BO169" i="1"/>
  <c r="CC237" i="1"/>
  <c r="CE237" i="1" s="1"/>
  <c r="CF237" i="1" s="1"/>
  <c r="AQ238" i="1"/>
  <c r="CA174" i="1"/>
  <c r="BW172" i="1"/>
  <c r="BX172" i="1" s="1"/>
  <c r="BZ172" i="1" s="1"/>
  <c r="BR172" i="1"/>
  <c r="CH174" i="1"/>
  <c r="BF170" i="1"/>
  <c r="BH169" i="1"/>
  <c r="BG169" i="1"/>
  <c r="CR158" i="1"/>
  <c r="CO158" i="1"/>
  <c r="CJ172" i="1"/>
  <c r="CI172" i="1"/>
  <c r="AJ173" i="1"/>
  <c r="AY172" i="1"/>
  <c r="BB172" i="1" s="1"/>
  <c r="CQ171" i="1"/>
  <c r="CN171" i="1"/>
  <c r="BB171" i="1"/>
  <c r="BA171" i="1"/>
  <c r="BI172" i="1"/>
  <c r="DF172" i="1"/>
  <c r="AM175" i="1"/>
  <c r="BU175" i="1" s="1"/>
  <c r="CK174" i="1"/>
  <c r="AP171" i="1"/>
  <c r="BJ171" i="1" s="1"/>
  <c r="CL170" i="1"/>
  <c r="AO173" i="1"/>
  <c r="CC238" i="1" l="1"/>
  <c r="CE238" i="1" s="1"/>
  <c r="CF238" i="1" s="1"/>
  <c r="AQ239" i="1"/>
  <c r="CA175" i="1"/>
  <c r="BW173" i="1"/>
  <c r="BX173" i="1" s="1"/>
  <c r="BZ173" i="1" s="1"/>
  <c r="BR173" i="1"/>
  <c r="CH175" i="1"/>
  <c r="BG170" i="1"/>
  <c r="BF171" i="1"/>
  <c r="CJ173" i="1"/>
  <c r="CI173" i="1"/>
  <c r="AJ174" i="1"/>
  <c r="AY173" i="1"/>
  <c r="CQ172" i="1"/>
  <c r="CN172" i="1"/>
  <c r="BA172" i="1"/>
  <c r="AM176" i="1"/>
  <c r="BU176" i="1" s="1"/>
  <c r="CK175" i="1"/>
  <c r="DF173" i="1"/>
  <c r="BI173" i="1"/>
  <c r="AP172" i="1"/>
  <c r="BJ172" i="1" s="1"/>
  <c r="CL171" i="1"/>
  <c r="AO174" i="1"/>
  <c r="CC239" i="1" l="1"/>
  <c r="CE239" i="1" s="1"/>
  <c r="CF239" i="1" s="1"/>
  <c r="AQ240" i="1"/>
  <c r="CA176" i="1"/>
  <c r="BW174" i="1"/>
  <c r="BX174" i="1" s="1"/>
  <c r="BZ174" i="1" s="1"/>
  <c r="BR174" i="1"/>
  <c r="CH176" i="1"/>
  <c r="BG171" i="1"/>
  <c r="BK172" i="1"/>
  <c r="BF172" i="1"/>
  <c r="BA173" i="1"/>
  <c r="BB173" i="1"/>
  <c r="CJ174" i="1"/>
  <c r="CI174" i="1"/>
  <c r="AJ175" i="1"/>
  <c r="AY174" i="1"/>
  <c r="BB174" i="1" s="1"/>
  <c r="CN173" i="1"/>
  <c r="CQ173" i="1"/>
  <c r="BI174" i="1"/>
  <c r="DF174" i="1"/>
  <c r="AM177" i="1"/>
  <c r="BU177" i="1" s="1"/>
  <c r="CK176" i="1"/>
  <c r="AP173" i="1"/>
  <c r="BJ173" i="1" s="1"/>
  <c r="CL172" i="1"/>
  <c r="AO175" i="1"/>
  <c r="BN172" i="1" l="1"/>
  <c r="BO172" i="1"/>
  <c r="CC240" i="1"/>
  <c r="CE240" i="1" s="1"/>
  <c r="CF240" i="1" s="1"/>
  <c r="AQ241" i="1"/>
  <c r="CA177" i="1"/>
  <c r="BW175" i="1"/>
  <c r="BX175" i="1" s="1"/>
  <c r="BZ175" i="1" s="1"/>
  <c r="BR175" i="1"/>
  <c r="CH177" i="1"/>
  <c r="BH172" i="1"/>
  <c r="BG172" i="1"/>
  <c r="BK173" i="1"/>
  <c r="BF173" i="1"/>
  <c r="CJ175" i="1"/>
  <c r="AJ176" i="1"/>
  <c r="CI175" i="1"/>
  <c r="AY175" i="1"/>
  <c r="BB175" i="1" s="1"/>
  <c r="CQ174" i="1"/>
  <c r="CN174" i="1"/>
  <c r="BA174" i="1"/>
  <c r="BI175" i="1"/>
  <c r="DF175" i="1"/>
  <c r="AM178" i="1"/>
  <c r="BU178" i="1" s="1"/>
  <c r="CK177" i="1"/>
  <c r="AO176" i="1"/>
  <c r="AP174" i="1"/>
  <c r="BJ174" i="1" s="1"/>
  <c r="CL173" i="1"/>
  <c r="BN173" i="1" l="1"/>
  <c r="BO173" i="1"/>
  <c r="CC241" i="1"/>
  <c r="AQ242" i="1"/>
  <c r="CA178" i="1"/>
  <c r="BW176" i="1"/>
  <c r="BX176" i="1" s="1"/>
  <c r="BZ176" i="1" s="1"/>
  <c r="BR176" i="1"/>
  <c r="CH178" i="1"/>
  <c r="BF174" i="1"/>
  <c r="BH173" i="1"/>
  <c r="BG173" i="1"/>
  <c r="CJ176" i="1"/>
  <c r="CI176" i="1"/>
  <c r="AJ177" i="1"/>
  <c r="AY176" i="1"/>
  <c r="BB176" i="1" s="1"/>
  <c r="CN175" i="1"/>
  <c r="CQ175" i="1"/>
  <c r="BA175" i="1"/>
  <c r="AM179" i="1"/>
  <c r="BU179" i="1" s="1"/>
  <c r="CK178" i="1"/>
  <c r="BI176" i="1"/>
  <c r="DF176" i="1"/>
  <c r="AP175" i="1"/>
  <c r="BJ175" i="1" s="1"/>
  <c r="BK174" i="1"/>
  <c r="CL174" i="1"/>
  <c r="AO177" i="1"/>
  <c r="BN174" i="1" l="1"/>
  <c r="BO174" i="1"/>
  <c r="CC242" i="1"/>
  <c r="AQ243" i="1"/>
  <c r="CE241" i="1"/>
  <c r="CF241" i="1" s="1"/>
  <c r="CD230" i="1"/>
  <c r="CA179" i="1"/>
  <c r="BW177" i="1"/>
  <c r="BX177" i="1" s="1"/>
  <c r="BZ177" i="1" s="1"/>
  <c r="BR177" i="1"/>
  <c r="CH179" i="1"/>
  <c r="BH174" i="1"/>
  <c r="BG174" i="1"/>
  <c r="BK175" i="1"/>
  <c r="BF175" i="1"/>
  <c r="BA176" i="1"/>
  <c r="CN176" i="1"/>
  <c r="CQ176" i="1"/>
  <c r="CJ177" i="1"/>
  <c r="AJ178" i="1"/>
  <c r="CI177" i="1"/>
  <c r="AY177" i="1"/>
  <c r="BB177" i="1" s="1"/>
  <c r="AM180" i="1"/>
  <c r="BU180" i="1" s="1"/>
  <c r="CK179" i="1"/>
  <c r="BI177" i="1"/>
  <c r="DF177" i="1"/>
  <c r="AO178" i="1"/>
  <c r="AP176" i="1"/>
  <c r="BJ176" i="1" s="1"/>
  <c r="CL175" i="1"/>
  <c r="BN175" i="1" l="1"/>
  <c r="BO175" i="1"/>
  <c r="CC243" i="1"/>
  <c r="CE243" i="1" s="1"/>
  <c r="CF243" i="1" s="1"/>
  <c r="AQ244" i="1"/>
  <c r="CE242" i="1"/>
  <c r="CF242" i="1" s="1"/>
  <c r="CA180" i="1"/>
  <c r="BW178" i="1"/>
  <c r="BX178" i="1" s="1"/>
  <c r="BZ178" i="1" s="1"/>
  <c r="BR178" i="1"/>
  <c r="CH180" i="1"/>
  <c r="BF176" i="1"/>
  <c r="BH175" i="1"/>
  <c r="BG175" i="1"/>
  <c r="CJ178" i="1"/>
  <c r="AJ179" i="1"/>
  <c r="CI178" i="1"/>
  <c r="AY178" i="1"/>
  <c r="BB178" i="1" s="1"/>
  <c r="CN177" i="1"/>
  <c r="CQ177" i="1"/>
  <c r="BA177" i="1"/>
  <c r="BI178" i="1"/>
  <c r="DF178" i="1"/>
  <c r="AM181" i="1"/>
  <c r="BU181" i="1" s="1"/>
  <c r="CA181" i="1" s="1"/>
  <c r="CB170" i="1" s="1"/>
  <c r="CK180" i="1"/>
  <c r="AP177" i="1"/>
  <c r="BJ177" i="1" s="1"/>
  <c r="CL176" i="1"/>
  <c r="BK176" i="1"/>
  <c r="AO179" i="1"/>
  <c r="BN176" i="1" l="1"/>
  <c r="BO176" i="1"/>
  <c r="CC244" i="1"/>
  <c r="CE244" i="1" s="1"/>
  <c r="CF244" i="1" s="1"/>
  <c r="AQ245" i="1"/>
  <c r="BW179" i="1"/>
  <c r="BX179" i="1" s="1"/>
  <c r="BZ179" i="1" s="1"/>
  <c r="BR179" i="1"/>
  <c r="CG170" i="1"/>
  <c r="BV170" i="1"/>
  <c r="BG176" i="1"/>
  <c r="BH176" i="1"/>
  <c r="BK177" i="1"/>
  <c r="BF177" i="1"/>
  <c r="CJ179" i="1"/>
  <c r="AJ180" i="1"/>
  <c r="CI179" i="1"/>
  <c r="AY179" i="1"/>
  <c r="BB179" i="1" s="1"/>
  <c r="BA178" i="1"/>
  <c r="CN178" i="1"/>
  <c r="CQ178" i="1"/>
  <c r="BI179" i="1"/>
  <c r="DF179" i="1"/>
  <c r="AM182" i="1"/>
  <c r="BU182" i="1" s="1"/>
  <c r="CA182" i="1" s="1"/>
  <c r="CK181" i="1"/>
  <c r="CZ170" i="1" s="1"/>
  <c r="AO180" i="1"/>
  <c r="AP178" i="1"/>
  <c r="BJ178" i="1" s="1"/>
  <c r="CL177" i="1"/>
  <c r="BN177" i="1" l="1"/>
  <c r="BO177" i="1"/>
  <c r="CC245" i="1"/>
  <c r="AQ246" i="1"/>
  <c r="BW180" i="1"/>
  <c r="BX180" i="1" s="1"/>
  <c r="BZ180" i="1" s="1"/>
  <c r="BR180" i="1"/>
  <c r="CH181" i="1"/>
  <c r="BF178" i="1"/>
  <c r="BG177" i="1"/>
  <c r="BH177" i="1"/>
  <c r="BA179" i="1"/>
  <c r="CN179" i="1"/>
  <c r="CQ179" i="1"/>
  <c r="CJ180" i="1"/>
  <c r="AJ181" i="1"/>
  <c r="CI180" i="1"/>
  <c r="AY180" i="1"/>
  <c r="BB180" i="1" s="1"/>
  <c r="BI180" i="1"/>
  <c r="DF180" i="1"/>
  <c r="AM183" i="1"/>
  <c r="BU183" i="1" s="1"/>
  <c r="CK182" i="1"/>
  <c r="AP179" i="1"/>
  <c r="BJ179" i="1" s="1"/>
  <c r="BK178" i="1"/>
  <c r="CL178" i="1"/>
  <c r="AO181" i="1"/>
  <c r="BN178" i="1" l="1"/>
  <c r="BO178" i="1"/>
  <c r="CC246" i="1"/>
  <c r="CE246" i="1" s="1"/>
  <c r="CF246" i="1" s="1"/>
  <c r="AQ247" i="1"/>
  <c r="CE245" i="1"/>
  <c r="CF245" i="1" s="1"/>
  <c r="CA183" i="1"/>
  <c r="BW181" i="1"/>
  <c r="BX181" i="1" s="1"/>
  <c r="BR181" i="1"/>
  <c r="BZ181" i="1"/>
  <c r="BY170" i="1"/>
  <c r="CH182" i="1"/>
  <c r="CH183" i="1" s="1"/>
  <c r="BG178" i="1"/>
  <c r="BH178" i="1"/>
  <c r="BK179" i="1"/>
  <c r="BF179" i="1"/>
  <c r="BA180" i="1"/>
  <c r="CJ181" i="1"/>
  <c r="CI181" i="1"/>
  <c r="AJ182" i="1"/>
  <c r="AY181" i="1"/>
  <c r="CN180" i="1"/>
  <c r="CQ180" i="1"/>
  <c r="AM184" i="1"/>
  <c r="BU184" i="1" s="1"/>
  <c r="CK183" i="1"/>
  <c r="BI181" i="1"/>
  <c r="DF181" i="1"/>
  <c r="AO182" i="1"/>
  <c r="AP180" i="1"/>
  <c r="BJ180" i="1" s="1"/>
  <c r="CL179" i="1"/>
  <c r="BN179" i="1" l="1"/>
  <c r="BO179" i="1"/>
  <c r="CC247" i="1"/>
  <c r="CE247" i="1" s="1"/>
  <c r="CF247" i="1" s="1"/>
  <c r="AQ248" i="1"/>
  <c r="CA184" i="1"/>
  <c r="BW182" i="1"/>
  <c r="BX182" i="1" s="1"/>
  <c r="BR182" i="1"/>
  <c r="BZ182" i="1"/>
  <c r="CH184" i="1"/>
  <c r="BG179" i="1"/>
  <c r="BH179" i="1"/>
  <c r="BK180" i="1"/>
  <c r="BF180" i="1"/>
  <c r="CJ182" i="1"/>
  <c r="CI182" i="1"/>
  <c r="AJ183" i="1"/>
  <c r="AY182" i="1"/>
  <c r="BB182" i="1" s="1"/>
  <c r="CQ181" i="1"/>
  <c r="CN181" i="1"/>
  <c r="CV171" i="1"/>
  <c r="AZ170" i="1"/>
  <c r="BA181" i="1"/>
  <c r="BB181" i="1"/>
  <c r="BC170" i="1"/>
  <c r="AM185" i="1"/>
  <c r="BU185" i="1" s="1"/>
  <c r="CA185" i="1" s="1"/>
  <c r="CK184" i="1"/>
  <c r="AP181" i="1"/>
  <c r="BJ181" i="1" s="1"/>
  <c r="CL180" i="1"/>
  <c r="AO183" i="1"/>
  <c r="BN180" i="1" l="1"/>
  <c r="BO180" i="1"/>
  <c r="CC248" i="1"/>
  <c r="CE248" i="1" s="1"/>
  <c r="CF248" i="1" s="1"/>
  <c r="AQ249" i="1"/>
  <c r="BW183" i="1"/>
  <c r="BX183" i="1" s="1"/>
  <c r="BZ183" i="1" s="1"/>
  <c r="BR183" i="1"/>
  <c r="CH185" i="1"/>
  <c r="BG180" i="1"/>
  <c r="BH180" i="1"/>
  <c r="BF181" i="1"/>
  <c r="CJ183" i="1"/>
  <c r="AJ184" i="1"/>
  <c r="CI183" i="1"/>
  <c r="AY183" i="1"/>
  <c r="BB183" i="1" s="1"/>
  <c r="CW170" i="1"/>
  <c r="CY170" i="1"/>
  <c r="CQ182" i="1"/>
  <c r="CN182" i="1"/>
  <c r="BA182" i="1"/>
  <c r="AM186" i="1"/>
  <c r="BU186" i="1" s="1"/>
  <c r="CK185" i="1"/>
  <c r="AO184" i="1"/>
  <c r="AP182" i="1"/>
  <c r="BJ182" i="1" s="1"/>
  <c r="CL181" i="1"/>
  <c r="DA170" i="1" s="1"/>
  <c r="BK181" i="1"/>
  <c r="BN181" i="1" l="1"/>
  <c r="BO181" i="1"/>
  <c r="CC249" i="1"/>
  <c r="CE249" i="1" s="1"/>
  <c r="CF249" i="1" s="1"/>
  <c r="AQ250" i="1"/>
  <c r="CA186" i="1"/>
  <c r="BW184" i="1"/>
  <c r="BX184" i="1" s="1"/>
  <c r="BZ184" i="1" s="1"/>
  <c r="BR184" i="1"/>
  <c r="CH186" i="1"/>
  <c r="BF182" i="1"/>
  <c r="BH181" i="1"/>
  <c r="BG181" i="1"/>
  <c r="CR170" i="1"/>
  <c r="CO170" i="1"/>
  <c r="CJ184" i="1"/>
  <c r="CI184" i="1"/>
  <c r="AJ185" i="1"/>
  <c r="AY184" i="1"/>
  <c r="BB184" i="1" s="1"/>
  <c r="BA183" i="1"/>
  <c r="CN183" i="1"/>
  <c r="CQ183" i="1"/>
  <c r="AM187" i="1"/>
  <c r="BU187" i="1" s="1"/>
  <c r="CK186" i="1"/>
  <c r="BI184" i="1"/>
  <c r="DF184" i="1"/>
  <c r="AO185" i="1"/>
  <c r="AP183" i="1"/>
  <c r="BJ183" i="1" s="1"/>
  <c r="CL182" i="1"/>
  <c r="CC250" i="1" l="1"/>
  <c r="CE250" i="1" s="1"/>
  <c r="CF250" i="1" s="1"/>
  <c r="AQ251" i="1"/>
  <c r="CA187" i="1"/>
  <c r="CH187" i="1"/>
  <c r="BW185" i="1"/>
  <c r="BX185" i="1" s="1"/>
  <c r="BZ185" i="1" s="1"/>
  <c r="BR185" i="1"/>
  <c r="BG182" i="1"/>
  <c r="BF183" i="1"/>
  <c r="CJ185" i="1"/>
  <c r="CI185" i="1"/>
  <c r="AJ186" i="1"/>
  <c r="AY185" i="1"/>
  <c r="BB185" i="1" s="1"/>
  <c r="CN184" i="1"/>
  <c r="CQ184" i="1"/>
  <c r="BA184" i="1"/>
  <c r="BI185" i="1"/>
  <c r="DF185" i="1"/>
  <c r="AM188" i="1"/>
  <c r="BU188" i="1" s="1"/>
  <c r="CK187" i="1"/>
  <c r="AP184" i="1"/>
  <c r="BJ184" i="1" s="1"/>
  <c r="CL183" i="1"/>
  <c r="AO186" i="1"/>
  <c r="CC251" i="1" l="1"/>
  <c r="CE251" i="1" s="1"/>
  <c r="CF251" i="1" s="1"/>
  <c r="AQ252" i="1"/>
  <c r="CH188" i="1"/>
  <c r="CA188" i="1"/>
  <c r="BW186" i="1"/>
  <c r="BX186" i="1" s="1"/>
  <c r="BZ186" i="1" s="1"/>
  <c r="BR186" i="1"/>
  <c r="BK184" i="1"/>
  <c r="BF184" i="1"/>
  <c r="BG183" i="1"/>
  <c r="CJ186" i="1"/>
  <c r="AJ187" i="1"/>
  <c r="CI186" i="1"/>
  <c r="AY186" i="1"/>
  <c r="BB186" i="1" s="1"/>
  <c r="BA185" i="1"/>
  <c r="CQ185" i="1"/>
  <c r="CN185" i="1"/>
  <c r="BI186" i="1"/>
  <c r="DF186" i="1"/>
  <c r="AM189" i="1"/>
  <c r="BU189" i="1" s="1"/>
  <c r="CK188" i="1"/>
  <c r="AO187" i="1"/>
  <c r="AP185" i="1"/>
  <c r="BJ185" i="1" s="1"/>
  <c r="CL184" i="1"/>
  <c r="BN184" i="1" l="1"/>
  <c r="BO184" i="1"/>
  <c r="CC252" i="1"/>
  <c r="CE252" i="1" s="1"/>
  <c r="CF252" i="1" s="1"/>
  <c r="AQ253" i="1"/>
  <c r="CH189" i="1"/>
  <c r="CA189" i="1"/>
  <c r="BW187" i="1"/>
  <c r="BX187" i="1" s="1"/>
  <c r="BZ187" i="1" s="1"/>
  <c r="BR187" i="1"/>
  <c r="BG184" i="1"/>
  <c r="BH184" i="1"/>
  <c r="BK185" i="1"/>
  <c r="BF185" i="1"/>
  <c r="BA186" i="1"/>
  <c r="CJ187" i="1"/>
  <c r="AJ188" i="1"/>
  <c r="CI187" i="1"/>
  <c r="AY187" i="1"/>
  <c r="BB187" i="1" s="1"/>
  <c r="CQ186" i="1"/>
  <c r="CN186" i="1"/>
  <c r="AM190" i="1"/>
  <c r="BU190" i="1" s="1"/>
  <c r="CK189" i="1"/>
  <c r="BI187" i="1"/>
  <c r="DF187" i="1"/>
  <c r="AO188" i="1"/>
  <c r="AP186" i="1"/>
  <c r="BJ186" i="1" s="1"/>
  <c r="CL185" i="1"/>
  <c r="BN185" i="1" l="1"/>
  <c r="BO185" i="1"/>
  <c r="CC253" i="1"/>
  <c r="AQ254" i="1"/>
  <c r="CH190" i="1"/>
  <c r="CA190" i="1"/>
  <c r="BW188" i="1"/>
  <c r="BX188" i="1" s="1"/>
  <c r="BZ188" i="1" s="1"/>
  <c r="BR188" i="1"/>
  <c r="BF186" i="1"/>
  <c r="BH185" i="1"/>
  <c r="BG185" i="1"/>
  <c r="CN187" i="1"/>
  <c r="CQ187" i="1"/>
  <c r="CJ188" i="1"/>
  <c r="CI188" i="1"/>
  <c r="AJ189" i="1"/>
  <c r="AY188" i="1"/>
  <c r="BB188" i="1" s="1"/>
  <c r="BA187" i="1"/>
  <c r="DF188" i="1"/>
  <c r="BI188" i="1"/>
  <c r="AM191" i="1"/>
  <c r="BU191" i="1" s="1"/>
  <c r="CK190" i="1"/>
  <c r="AP187" i="1"/>
  <c r="BJ187" i="1" s="1"/>
  <c r="BK186" i="1"/>
  <c r="CL186" i="1"/>
  <c r="AO189" i="1"/>
  <c r="BN186" i="1" l="1"/>
  <c r="BO186" i="1"/>
  <c r="CC254" i="1"/>
  <c r="AQ255" i="1"/>
  <c r="CE253" i="1"/>
  <c r="CF253" i="1" s="1"/>
  <c r="CD242" i="1"/>
  <c r="CH191" i="1"/>
  <c r="CA191" i="1"/>
  <c r="BW189" i="1"/>
  <c r="BX189" i="1" s="1"/>
  <c r="BZ189" i="1" s="1"/>
  <c r="BR189" i="1"/>
  <c r="BH186" i="1"/>
  <c r="BG186" i="1"/>
  <c r="BK187" i="1"/>
  <c r="BF187" i="1"/>
  <c r="CJ189" i="1"/>
  <c r="CI189" i="1"/>
  <c r="AJ190" i="1"/>
  <c r="AY189" i="1"/>
  <c r="BB189" i="1" s="1"/>
  <c r="BA188" i="1"/>
  <c r="BA189" i="1" s="1"/>
  <c r="CQ188" i="1"/>
  <c r="CN188" i="1"/>
  <c r="AM192" i="1"/>
  <c r="BU192" i="1" s="1"/>
  <c r="CK191" i="1"/>
  <c r="BI189" i="1"/>
  <c r="DF189" i="1"/>
  <c r="AP188" i="1"/>
  <c r="BJ188" i="1" s="1"/>
  <c r="CL187" i="1"/>
  <c r="AO190" i="1"/>
  <c r="BN187" i="1" l="1"/>
  <c r="BO187" i="1"/>
  <c r="CC255" i="1"/>
  <c r="CE255" i="1" s="1"/>
  <c r="CF255" i="1" s="1"/>
  <c r="AQ256" i="1"/>
  <c r="CE254" i="1"/>
  <c r="CF254" i="1" s="1"/>
  <c r="CH192" i="1"/>
  <c r="CA192" i="1"/>
  <c r="BW190" i="1"/>
  <c r="BX190" i="1" s="1"/>
  <c r="BZ190" i="1" s="1"/>
  <c r="BR190" i="1"/>
  <c r="BF188" i="1"/>
  <c r="BH187" i="1"/>
  <c r="BG187" i="1"/>
  <c r="CJ190" i="1"/>
  <c r="AJ191" i="1"/>
  <c r="CI190" i="1"/>
  <c r="AY190" i="1"/>
  <c r="CN189" i="1"/>
  <c r="CQ189" i="1"/>
  <c r="AM193" i="1"/>
  <c r="BU193" i="1" s="1"/>
  <c r="CA193" i="1" s="1"/>
  <c r="CB182" i="1" s="1"/>
  <c r="CK192" i="1"/>
  <c r="DF190" i="1"/>
  <c r="BI190" i="1"/>
  <c r="AO191" i="1"/>
  <c r="AP189" i="1"/>
  <c r="BJ189" i="1" s="1"/>
  <c r="CL188" i="1"/>
  <c r="BK188" i="1"/>
  <c r="BN188" i="1" l="1"/>
  <c r="BO188" i="1"/>
  <c r="CC256" i="1"/>
  <c r="AQ257" i="1"/>
  <c r="BW191" i="1"/>
  <c r="BX191" i="1" s="1"/>
  <c r="BZ191" i="1" s="1"/>
  <c r="BR191" i="1"/>
  <c r="BV182" i="1"/>
  <c r="BF189" i="1"/>
  <c r="BH188" i="1"/>
  <c r="BG188" i="1"/>
  <c r="BA190" i="1"/>
  <c r="BB190" i="1"/>
  <c r="CJ191" i="1"/>
  <c r="CI191" i="1"/>
  <c r="AJ192" i="1"/>
  <c r="AY191" i="1"/>
  <c r="CQ190" i="1"/>
  <c r="CN190" i="1"/>
  <c r="DF191" i="1"/>
  <c r="BI191" i="1"/>
  <c r="AM194" i="1"/>
  <c r="BU194" i="1" s="1"/>
  <c r="CK193" i="1"/>
  <c r="CZ182" i="1" s="1"/>
  <c r="AP190" i="1"/>
  <c r="BJ190" i="1" s="1"/>
  <c r="CL189" i="1"/>
  <c r="BK189" i="1"/>
  <c r="AO192" i="1"/>
  <c r="BN189" i="1" l="1"/>
  <c r="BO189" i="1"/>
  <c r="CC257" i="1"/>
  <c r="CE257" i="1" s="1"/>
  <c r="CF257" i="1" s="1"/>
  <c r="AQ258" i="1"/>
  <c r="CE256" i="1"/>
  <c r="CF256" i="1" s="1"/>
  <c r="CA194" i="1"/>
  <c r="BW192" i="1"/>
  <c r="BX192" i="1" s="1"/>
  <c r="BZ192" i="1" s="1"/>
  <c r="BR192" i="1"/>
  <c r="CG182" i="1"/>
  <c r="CH193" i="1"/>
  <c r="CH194" i="1" s="1"/>
  <c r="BH189" i="1"/>
  <c r="BG189" i="1"/>
  <c r="BK190" i="1"/>
  <c r="BF190" i="1"/>
  <c r="CN191" i="1"/>
  <c r="CQ191" i="1"/>
  <c r="BA191" i="1"/>
  <c r="BB191" i="1"/>
  <c r="CJ192" i="1"/>
  <c r="AJ193" i="1"/>
  <c r="CI192" i="1"/>
  <c r="AY192" i="1"/>
  <c r="BB192" i="1" s="1"/>
  <c r="BI192" i="1"/>
  <c r="DF192" i="1"/>
  <c r="AM195" i="1"/>
  <c r="BU195" i="1" s="1"/>
  <c r="CK194" i="1"/>
  <c r="AO193" i="1"/>
  <c r="AP191" i="1"/>
  <c r="BJ191" i="1" s="1"/>
  <c r="CL190" i="1"/>
  <c r="BN190" i="1" l="1"/>
  <c r="BO190" i="1"/>
  <c r="CC258" i="1"/>
  <c r="AQ259" i="1"/>
  <c r="CA195" i="1"/>
  <c r="BW193" i="1"/>
  <c r="BX193" i="1" s="1"/>
  <c r="BR193" i="1"/>
  <c r="BZ193" i="1"/>
  <c r="BY182" i="1"/>
  <c r="CH195" i="1"/>
  <c r="BF191" i="1"/>
  <c r="BH190" i="1"/>
  <c r="BG190" i="1"/>
  <c r="BA192" i="1"/>
  <c r="CN192" i="1"/>
  <c r="CQ192" i="1"/>
  <c r="CJ193" i="1"/>
  <c r="AJ194" i="1"/>
  <c r="CI193" i="1"/>
  <c r="AY193" i="1"/>
  <c r="AZ182" i="1" s="1"/>
  <c r="AM196" i="1"/>
  <c r="BU196" i="1" s="1"/>
  <c r="CK195" i="1"/>
  <c r="BI193" i="1"/>
  <c r="DF193" i="1"/>
  <c r="AP192" i="1"/>
  <c r="BJ192" i="1" s="1"/>
  <c r="CL191" i="1"/>
  <c r="BK191" i="1"/>
  <c r="AO194" i="1"/>
  <c r="BN191" i="1" l="1"/>
  <c r="BO191" i="1"/>
  <c r="CC259" i="1"/>
  <c r="CE259" i="1" s="1"/>
  <c r="CF259" i="1" s="1"/>
  <c r="AQ260" i="1"/>
  <c r="CE258" i="1"/>
  <c r="CF258" i="1" s="1"/>
  <c r="CA196" i="1"/>
  <c r="BW194" i="1"/>
  <c r="BX194" i="1" s="1"/>
  <c r="BR194" i="1"/>
  <c r="BZ194" i="1"/>
  <c r="CH196" i="1"/>
  <c r="BK192" i="1"/>
  <c r="BF192" i="1"/>
  <c r="BG191" i="1"/>
  <c r="BH191" i="1"/>
  <c r="CQ193" i="1"/>
  <c r="CN193" i="1"/>
  <c r="CV183" i="1"/>
  <c r="CJ194" i="1"/>
  <c r="AJ195" i="1"/>
  <c r="CI194" i="1"/>
  <c r="AY194" i="1"/>
  <c r="BB194" i="1" s="1"/>
  <c r="BB193" i="1"/>
  <c r="BC182" i="1"/>
  <c r="BA193" i="1"/>
  <c r="AM197" i="1"/>
  <c r="BU197" i="1" s="1"/>
  <c r="CK196" i="1"/>
  <c r="AO195" i="1"/>
  <c r="AP193" i="1"/>
  <c r="BJ193" i="1" s="1"/>
  <c r="CL192" i="1"/>
  <c r="BN192" i="1" l="1"/>
  <c r="BO192" i="1"/>
  <c r="CC260" i="1"/>
  <c r="CE260" i="1" s="1"/>
  <c r="CF260" i="1" s="1"/>
  <c r="AQ261" i="1"/>
  <c r="CA197" i="1"/>
  <c r="BW195" i="1"/>
  <c r="BX195" i="1" s="1"/>
  <c r="BZ195" i="1" s="1"/>
  <c r="BR195" i="1"/>
  <c r="CH197" i="1"/>
  <c r="BF193" i="1"/>
  <c r="BG192" i="1"/>
  <c r="BH192" i="1"/>
  <c r="BA194" i="1"/>
  <c r="CW182" i="1"/>
  <c r="CY182" i="1"/>
  <c r="CJ195" i="1"/>
  <c r="CI195" i="1"/>
  <c r="AJ196" i="1"/>
  <c r="AY195" i="1"/>
  <c r="BB195" i="1" s="1"/>
  <c r="CN194" i="1"/>
  <c r="CQ194" i="1"/>
  <c r="AM198" i="1"/>
  <c r="BU198" i="1" s="1"/>
  <c r="CA198" i="1" s="1"/>
  <c r="CK197" i="1"/>
  <c r="AP194" i="1"/>
  <c r="BJ194" i="1" s="1"/>
  <c r="BK193" i="1"/>
  <c r="CL193" i="1"/>
  <c r="DA182" i="1" s="1"/>
  <c r="AO196" i="1"/>
  <c r="BN193" i="1" l="1"/>
  <c r="BO193" i="1"/>
  <c r="CC261" i="1"/>
  <c r="CE261" i="1" s="1"/>
  <c r="CF261" i="1" s="1"/>
  <c r="AQ262" i="1"/>
  <c r="BW196" i="1"/>
  <c r="BX196" i="1" s="1"/>
  <c r="BZ196" i="1" s="1"/>
  <c r="BR196" i="1"/>
  <c r="CH198" i="1"/>
  <c r="BG193" i="1"/>
  <c r="BH193" i="1"/>
  <c r="BF194" i="1"/>
  <c r="BA195" i="1"/>
  <c r="CN195" i="1"/>
  <c r="CQ195" i="1"/>
  <c r="CJ196" i="1"/>
  <c r="CI196" i="1"/>
  <c r="AJ197" i="1"/>
  <c r="AY196" i="1"/>
  <c r="BB196" i="1" s="1"/>
  <c r="CR182" i="1"/>
  <c r="CO182" i="1"/>
  <c r="AM199" i="1"/>
  <c r="BU199" i="1" s="1"/>
  <c r="CK198" i="1"/>
  <c r="BI196" i="1"/>
  <c r="DF196" i="1"/>
  <c r="AO197" i="1"/>
  <c r="AP195" i="1"/>
  <c r="BJ195" i="1" s="1"/>
  <c r="CL194" i="1"/>
  <c r="CC262" i="1" l="1"/>
  <c r="CE262" i="1" s="1"/>
  <c r="CF262" i="1" s="1"/>
  <c r="AQ263" i="1"/>
  <c r="CA199" i="1"/>
  <c r="BW197" i="1"/>
  <c r="BX197" i="1" s="1"/>
  <c r="BZ197" i="1" s="1"/>
  <c r="BR197" i="1"/>
  <c r="CH199" i="1"/>
  <c r="BG194" i="1"/>
  <c r="BF195" i="1"/>
  <c r="CJ197" i="1"/>
  <c r="CI197" i="1"/>
  <c r="AJ198" i="1"/>
  <c r="AY197" i="1"/>
  <c r="BB197" i="1" s="1"/>
  <c r="CN196" i="1"/>
  <c r="CQ196" i="1"/>
  <c r="BA196" i="1"/>
  <c r="AM200" i="1"/>
  <c r="BU200" i="1" s="1"/>
  <c r="CK199" i="1"/>
  <c r="BI197" i="1"/>
  <c r="DF197" i="1"/>
  <c r="AP196" i="1"/>
  <c r="BJ196" i="1" s="1"/>
  <c r="CL195" i="1"/>
  <c r="AO198" i="1"/>
  <c r="CC263" i="1" l="1"/>
  <c r="CE263" i="1" s="1"/>
  <c r="CF263" i="1" s="1"/>
  <c r="AQ264" i="1"/>
  <c r="CA200" i="1"/>
  <c r="BW198" i="1"/>
  <c r="BX198" i="1" s="1"/>
  <c r="BZ198" i="1" s="1"/>
  <c r="BR198" i="1"/>
  <c r="CH200" i="1"/>
  <c r="BF196" i="1"/>
  <c r="BG195" i="1"/>
  <c r="CQ197" i="1"/>
  <c r="CN197" i="1"/>
  <c r="CJ198" i="1"/>
  <c r="AJ199" i="1"/>
  <c r="CI198" i="1"/>
  <c r="AY198" i="1"/>
  <c r="BB198" i="1" s="1"/>
  <c r="BA197" i="1"/>
  <c r="BI198" i="1"/>
  <c r="DF198" i="1"/>
  <c r="AM201" i="1"/>
  <c r="BU201" i="1" s="1"/>
  <c r="CK200" i="1"/>
  <c r="AO199" i="1"/>
  <c r="AP197" i="1"/>
  <c r="BJ197" i="1" s="1"/>
  <c r="BK196" i="1"/>
  <c r="CL196" i="1"/>
  <c r="BN196" i="1" l="1"/>
  <c r="BO196" i="1"/>
  <c r="CC264" i="1"/>
  <c r="CE264" i="1" s="1"/>
  <c r="CF264" i="1" s="1"/>
  <c r="AQ265" i="1"/>
  <c r="CA201" i="1"/>
  <c r="BW199" i="1"/>
  <c r="BX199" i="1" s="1"/>
  <c r="BZ199" i="1" s="1"/>
  <c r="BR199" i="1"/>
  <c r="CH201" i="1"/>
  <c r="BF197" i="1"/>
  <c r="BH196" i="1"/>
  <c r="BG196" i="1"/>
  <c r="CJ199" i="1"/>
  <c r="AJ200" i="1"/>
  <c r="CI199" i="1"/>
  <c r="AY199" i="1"/>
  <c r="BB199" i="1" s="1"/>
  <c r="CN198" i="1"/>
  <c r="CQ198" i="1"/>
  <c r="BA198" i="1"/>
  <c r="BI199" i="1"/>
  <c r="DF199" i="1"/>
  <c r="AM202" i="1"/>
  <c r="BU202" i="1" s="1"/>
  <c r="CK201" i="1"/>
  <c r="AP198" i="1"/>
  <c r="BJ198" i="1" s="1"/>
  <c r="BK197" i="1"/>
  <c r="CL197" i="1"/>
  <c r="AO200" i="1"/>
  <c r="BN197" i="1" l="1"/>
  <c r="BO197" i="1"/>
  <c r="CC265" i="1"/>
  <c r="AQ266" i="1"/>
  <c r="CH202" i="1"/>
  <c r="CA202" i="1"/>
  <c r="BW200" i="1"/>
  <c r="BX200" i="1" s="1"/>
  <c r="BZ200" i="1" s="1"/>
  <c r="BR200" i="1"/>
  <c r="BH197" i="1"/>
  <c r="BG197" i="1"/>
  <c r="BK198" i="1"/>
  <c r="BF198" i="1"/>
  <c r="CJ200" i="1"/>
  <c r="CI200" i="1"/>
  <c r="AJ201" i="1"/>
  <c r="AY200" i="1"/>
  <c r="BB200" i="1" s="1"/>
  <c r="BA199" i="1"/>
  <c r="CQ199" i="1"/>
  <c r="CN199" i="1"/>
  <c r="AM203" i="1"/>
  <c r="BU203" i="1" s="1"/>
  <c r="CK202" i="1"/>
  <c r="BI200" i="1"/>
  <c r="DF200" i="1"/>
  <c r="AO201" i="1"/>
  <c r="AP199" i="1"/>
  <c r="BJ199" i="1" s="1"/>
  <c r="CL198" i="1"/>
  <c r="BN198" i="1" l="1"/>
  <c r="BO198" i="1"/>
  <c r="CC266" i="1"/>
  <c r="AQ267" i="1"/>
  <c r="CE265" i="1"/>
  <c r="CF265" i="1" s="1"/>
  <c r="CD254" i="1"/>
  <c r="CH203" i="1"/>
  <c r="CA203" i="1"/>
  <c r="BW201" i="1"/>
  <c r="BX201" i="1" s="1"/>
  <c r="BZ201" i="1" s="1"/>
  <c r="BR201" i="1"/>
  <c r="BF199" i="1"/>
  <c r="BG198" i="1"/>
  <c r="BH198" i="1"/>
  <c r="BA200" i="1"/>
  <c r="CQ200" i="1"/>
  <c r="CN200" i="1"/>
  <c r="CJ201" i="1"/>
  <c r="CI201" i="1"/>
  <c r="AJ202" i="1"/>
  <c r="AY201" i="1"/>
  <c r="BB201" i="1" s="1"/>
  <c r="DF201" i="1"/>
  <c r="BI201" i="1"/>
  <c r="AM204" i="1"/>
  <c r="BU204" i="1" s="1"/>
  <c r="CK203" i="1"/>
  <c r="AO202" i="1"/>
  <c r="AP200" i="1"/>
  <c r="BJ200" i="1" s="1"/>
  <c r="CL199" i="1"/>
  <c r="BK199" i="1"/>
  <c r="BN199" i="1" l="1"/>
  <c r="BO199" i="1"/>
  <c r="CC267" i="1"/>
  <c r="CE267" i="1" s="1"/>
  <c r="CF267" i="1" s="1"/>
  <c r="AQ268" i="1"/>
  <c r="CE266" i="1"/>
  <c r="CF266" i="1" s="1"/>
  <c r="CH204" i="1"/>
  <c r="CA204" i="1"/>
  <c r="BW202" i="1"/>
  <c r="BX202" i="1" s="1"/>
  <c r="BZ202" i="1" s="1"/>
  <c r="BR202" i="1"/>
  <c r="BK200" i="1"/>
  <c r="BF200" i="1"/>
  <c r="BH199" i="1"/>
  <c r="BG199" i="1"/>
  <c r="CN201" i="1"/>
  <c r="CQ201" i="1"/>
  <c r="CJ202" i="1"/>
  <c r="AJ203" i="1"/>
  <c r="CI202" i="1"/>
  <c r="AY202" i="1"/>
  <c r="BB202" i="1" s="1"/>
  <c r="BA201" i="1"/>
  <c r="AM205" i="1"/>
  <c r="BU205" i="1" s="1"/>
  <c r="CA205" i="1" s="1"/>
  <c r="CB194" i="1" s="1"/>
  <c r="CK204" i="1"/>
  <c r="BI202" i="1"/>
  <c r="DF202" i="1"/>
  <c r="AP201" i="1"/>
  <c r="BJ201" i="1" s="1"/>
  <c r="CL200" i="1"/>
  <c r="AO203" i="1"/>
  <c r="BN200" i="1" l="1"/>
  <c r="BO200" i="1"/>
  <c r="CC268" i="1"/>
  <c r="AQ269" i="1"/>
  <c r="BW203" i="1"/>
  <c r="BX203" i="1" s="1"/>
  <c r="BZ203" i="1" s="1"/>
  <c r="BR203" i="1"/>
  <c r="BV194" i="1"/>
  <c r="BF201" i="1"/>
  <c r="BH200" i="1"/>
  <c r="BG200" i="1"/>
  <c r="CQ202" i="1"/>
  <c r="CN202" i="1"/>
  <c r="CJ203" i="1"/>
  <c r="AJ204" i="1"/>
  <c r="CI203" i="1"/>
  <c r="AY203" i="1"/>
  <c r="BB203" i="1" s="1"/>
  <c r="BA202" i="1"/>
  <c r="AM206" i="1"/>
  <c r="BU206" i="1" s="1"/>
  <c r="CK205" i="1"/>
  <c r="CZ194" i="1" s="1"/>
  <c r="BI203" i="1"/>
  <c r="DF203" i="1"/>
  <c r="AP202" i="1"/>
  <c r="BJ202" i="1" s="1"/>
  <c r="CL201" i="1"/>
  <c r="BK201" i="1"/>
  <c r="AO204" i="1"/>
  <c r="BN201" i="1" l="1"/>
  <c r="BO201" i="1"/>
  <c r="CC269" i="1"/>
  <c r="CE269" i="1" s="1"/>
  <c r="CF269" i="1" s="1"/>
  <c r="AQ270" i="1"/>
  <c r="CE268" i="1"/>
  <c r="CF268" i="1" s="1"/>
  <c r="CA206" i="1"/>
  <c r="BW204" i="1"/>
  <c r="BX204" i="1" s="1"/>
  <c r="BZ204" i="1" s="1"/>
  <c r="BR204" i="1"/>
  <c r="CG194" i="1"/>
  <c r="CH205" i="1"/>
  <c r="CH206" i="1" s="1"/>
  <c r="BF202" i="1"/>
  <c r="BH201" i="1"/>
  <c r="BG201" i="1"/>
  <c r="BA203" i="1"/>
  <c r="CN203" i="1"/>
  <c r="CQ203" i="1"/>
  <c r="CJ204" i="1"/>
  <c r="AJ205" i="1"/>
  <c r="CI204" i="1"/>
  <c r="AY204" i="1"/>
  <c r="BB204" i="1" s="1"/>
  <c r="AM207" i="1"/>
  <c r="BU207" i="1" s="1"/>
  <c r="CK206" i="1"/>
  <c r="DF204" i="1"/>
  <c r="BI204" i="1"/>
  <c r="AO205" i="1"/>
  <c r="AP203" i="1"/>
  <c r="BJ203" i="1" s="1"/>
  <c r="CL202" i="1"/>
  <c r="BK202" i="1"/>
  <c r="BN202" i="1" l="1"/>
  <c r="BO202" i="1"/>
  <c r="CC270" i="1"/>
  <c r="AQ271" i="1"/>
  <c r="CA207" i="1"/>
  <c r="BW205" i="1"/>
  <c r="BX205" i="1" s="1"/>
  <c r="BR205" i="1"/>
  <c r="BZ205" i="1"/>
  <c r="BY194" i="1"/>
  <c r="CH207" i="1"/>
  <c r="BG202" i="1"/>
  <c r="BH202" i="1"/>
  <c r="BK203" i="1"/>
  <c r="BF203" i="1"/>
  <c r="BA204" i="1"/>
  <c r="CJ205" i="1"/>
  <c r="CI205" i="1"/>
  <c r="AJ206" i="1"/>
  <c r="AY205" i="1"/>
  <c r="CN204" i="1"/>
  <c r="CQ204" i="1"/>
  <c r="DF205" i="1"/>
  <c r="BI205" i="1"/>
  <c r="AM208" i="1"/>
  <c r="BU208" i="1" s="1"/>
  <c r="CK207" i="1"/>
  <c r="AP204" i="1"/>
  <c r="BJ204" i="1" s="1"/>
  <c r="CL203" i="1"/>
  <c r="AO206" i="1"/>
  <c r="BN203" i="1" l="1"/>
  <c r="BO203" i="1"/>
  <c r="CC271" i="1"/>
  <c r="CE271" i="1" s="1"/>
  <c r="CF271" i="1" s="1"/>
  <c r="AQ272" i="1"/>
  <c r="CE270" i="1"/>
  <c r="CF270" i="1" s="1"/>
  <c r="CH208" i="1"/>
  <c r="CA208" i="1"/>
  <c r="BW206" i="1"/>
  <c r="BX206" i="1" s="1"/>
  <c r="BR206" i="1"/>
  <c r="BZ206" i="1"/>
  <c r="BG203" i="1"/>
  <c r="BH203" i="1"/>
  <c r="BK204" i="1"/>
  <c r="BF204" i="1"/>
  <c r="CJ206" i="1"/>
  <c r="CI206" i="1"/>
  <c r="AJ207" i="1"/>
  <c r="AY206" i="1"/>
  <c r="BB206" i="1" s="1"/>
  <c r="CQ205" i="1"/>
  <c r="CN205" i="1"/>
  <c r="CV195" i="1"/>
  <c r="AZ194" i="1"/>
  <c r="BB205" i="1"/>
  <c r="BC194" i="1"/>
  <c r="BA205" i="1"/>
  <c r="AM209" i="1"/>
  <c r="BU209" i="1" s="1"/>
  <c r="CK208" i="1"/>
  <c r="AP205" i="1"/>
  <c r="BJ205" i="1" s="1"/>
  <c r="CL204" i="1"/>
  <c r="AO207" i="1"/>
  <c r="BN204" i="1" l="1"/>
  <c r="BO204" i="1"/>
  <c r="CC272" i="1"/>
  <c r="CE272" i="1" s="1"/>
  <c r="CF272" i="1" s="1"/>
  <c r="AQ273" i="1"/>
  <c r="CH209" i="1"/>
  <c r="CA209" i="1"/>
  <c r="BW207" i="1"/>
  <c r="BX207" i="1" s="1"/>
  <c r="BZ207" i="1" s="1"/>
  <c r="BR207" i="1"/>
  <c r="BG204" i="1"/>
  <c r="BH204" i="1"/>
  <c r="BK205" i="1"/>
  <c r="BF205" i="1"/>
  <c r="BA206" i="1"/>
  <c r="CJ207" i="1"/>
  <c r="AJ208" i="1"/>
  <c r="CI207" i="1"/>
  <c r="AY207" i="1"/>
  <c r="BB207" i="1" s="1"/>
  <c r="CW194" i="1"/>
  <c r="CY194" i="1"/>
  <c r="CN206" i="1"/>
  <c r="CQ206" i="1"/>
  <c r="AM210" i="1"/>
  <c r="BU210" i="1" s="1"/>
  <c r="CA210" i="1" s="1"/>
  <c r="CK209" i="1"/>
  <c r="AP206" i="1"/>
  <c r="BJ206" i="1" s="1"/>
  <c r="CL205" i="1"/>
  <c r="DA194" i="1" s="1"/>
  <c r="AO208" i="1"/>
  <c r="BN205" i="1" l="1"/>
  <c r="BO205" i="1"/>
  <c r="CC273" i="1"/>
  <c r="CE273" i="1" s="1"/>
  <c r="CF273" i="1" s="1"/>
  <c r="AQ274" i="1"/>
  <c r="BW208" i="1"/>
  <c r="BX208" i="1" s="1"/>
  <c r="BZ208" i="1" s="1"/>
  <c r="BR208" i="1"/>
  <c r="CH210" i="1"/>
  <c r="BF206" i="1"/>
  <c r="BH205" i="1"/>
  <c r="BG205" i="1"/>
  <c r="CJ208" i="1"/>
  <c r="CI208" i="1"/>
  <c r="AJ209" i="1"/>
  <c r="AY208" i="1"/>
  <c r="BB208" i="1" s="1"/>
  <c r="CN207" i="1"/>
  <c r="CQ207" i="1"/>
  <c r="BA207" i="1"/>
  <c r="CR194" i="1"/>
  <c r="CO194" i="1"/>
  <c r="AM211" i="1"/>
  <c r="BU211" i="1" s="1"/>
  <c r="CK210" i="1"/>
  <c r="BI208" i="1"/>
  <c r="DF208" i="1"/>
  <c r="AO209" i="1"/>
  <c r="AP207" i="1"/>
  <c r="BJ207" i="1" s="1"/>
  <c r="CL206" i="1"/>
  <c r="CC274" i="1" l="1"/>
  <c r="CE274" i="1" s="1"/>
  <c r="CF274" i="1" s="1"/>
  <c r="AQ275" i="1"/>
  <c r="CA211" i="1"/>
  <c r="BW209" i="1"/>
  <c r="BX209" i="1" s="1"/>
  <c r="BZ209" i="1" s="1"/>
  <c r="BR209" i="1"/>
  <c r="CH211" i="1"/>
  <c r="BF207" i="1"/>
  <c r="BG206" i="1"/>
  <c r="CJ209" i="1"/>
  <c r="CI209" i="1"/>
  <c r="AJ210" i="1"/>
  <c r="AY209" i="1"/>
  <c r="BB209" i="1" s="1"/>
  <c r="BA208" i="1"/>
  <c r="CQ208" i="1"/>
  <c r="CN208" i="1"/>
  <c r="AM212" i="1"/>
  <c r="BU212" i="1" s="1"/>
  <c r="CK211" i="1"/>
  <c r="BI209" i="1"/>
  <c r="DF209" i="1"/>
  <c r="AP208" i="1"/>
  <c r="BJ208" i="1" s="1"/>
  <c r="CL207" i="1"/>
  <c r="AO210" i="1"/>
  <c r="CC275" i="1" l="1"/>
  <c r="CE275" i="1" s="1"/>
  <c r="CF275" i="1" s="1"/>
  <c r="AQ276" i="1"/>
  <c r="CA212" i="1"/>
  <c r="BW210" i="1"/>
  <c r="BX210" i="1" s="1"/>
  <c r="BZ210" i="1" s="1"/>
  <c r="BR210" i="1"/>
  <c r="CH212" i="1"/>
  <c r="BG207" i="1"/>
  <c r="BK208" i="1"/>
  <c r="BF208" i="1"/>
  <c r="BA209" i="1"/>
  <c r="CN209" i="1"/>
  <c r="CQ209" i="1"/>
  <c r="CJ210" i="1"/>
  <c r="AJ211" i="1"/>
  <c r="CI210" i="1"/>
  <c r="AY210" i="1"/>
  <c r="BB210" i="1" s="1"/>
  <c r="AM213" i="1"/>
  <c r="BU213" i="1" s="1"/>
  <c r="CK212" i="1"/>
  <c r="DF210" i="1"/>
  <c r="BI210" i="1"/>
  <c r="AO211" i="1"/>
  <c r="AP209" i="1"/>
  <c r="BJ209" i="1" s="1"/>
  <c r="CL208" i="1"/>
  <c r="BN208" i="1" l="1"/>
  <c r="BO208" i="1"/>
  <c r="CC276" i="1"/>
  <c r="CE276" i="1" s="1"/>
  <c r="CF276" i="1" s="1"/>
  <c r="AQ277" i="1"/>
  <c r="CA213" i="1"/>
  <c r="BW211" i="1"/>
  <c r="BX211" i="1" s="1"/>
  <c r="BZ211" i="1" s="1"/>
  <c r="BR211" i="1"/>
  <c r="CH213" i="1"/>
  <c r="BG208" i="1"/>
  <c r="BH208" i="1"/>
  <c r="BK209" i="1"/>
  <c r="BF209" i="1"/>
  <c r="CJ211" i="1"/>
  <c r="AJ212" i="1"/>
  <c r="CI211" i="1"/>
  <c r="AY211" i="1"/>
  <c r="BB211" i="1" s="1"/>
  <c r="CQ210" i="1"/>
  <c r="CN210" i="1"/>
  <c r="BA210" i="1"/>
  <c r="AM214" i="1"/>
  <c r="BU214" i="1" s="1"/>
  <c r="CK213" i="1"/>
  <c r="BI211" i="1"/>
  <c r="DF211" i="1"/>
  <c r="AP210" i="1"/>
  <c r="BJ210" i="1" s="1"/>
  <c r="CL209" i="1"/>
  <c r="AO212" i="1"/>
  <c r="BN209" i="1" l="1"/>
  <c r="BO209" i="1"/>
  <c r="CC277" i="1"/>
  <c r="AQ278" i="1"/>
  <c r="CA214" i="1"/>
  <c r="BW212" i="1"/>
  <c r="BX212" i="1" s="1"/>
  <c r="BZ212" i="1" s="1"/>
  <c r="BR212" i="1"/>
  <c r="CH214" i="1"/>
  <c r="BF210" i="1"/>
  <c r="BH209" i="1"/>
  <c r="BG209" i="1"/>
  <c r="BA211" i="1"/>
  <c r="CJ212" i="1"/>
  <c r="CI212" i="1"/>
  <c r="AJ213" i="1"/>
  <c r="AY212" i="1"/>
  <c r="BB212" i="1" s="1"/>
  <c r="CN211" i="1"/>
  <c r="CQ211" i="1"/>
  <c r="AM215" i="1"/>
  <c r="BU215" i="1" s="1"/>
  <c r="CK214" i="1"/>
  <c r="BI212" i="1"/>
  <c r="DF212" i="1"/>
  <c r="AO213" i="1"/>
  <c r="AP211" i="1"/>
  <c r="BJ211" i="1" s="1"/>
  <c r="BK210" i="1"/>
  <c r="CL210" i="1"/>
  <c r="BN210" i="1" l="1"/>
  <c r="BO210" i="1"/>
  <c r="CC278" i="1"/>
  <c r="AQ279" i="1"/>
  <c r="CE277" i="1"/>
  <c r="CF277" i="1" s="1"/>
  <c r="CD266" i="1"/>
  <c r="CA215" i="1"/>
  <c r="BW213" i="1"/>
  <c r="BX213" i="1" s="1"/>
  <c r="BZ213" i="1" s="1"/>
  <c r="BR213" i="1"/>
  <c r="CH215" i="1"/>
  <c r="BF211" i="1"/>
  <c r="BH210" i="1"/>
  <c r="BG210" i="1"/>
  <c r="CJ213" i="1"/>
  <c r="AJ214" i="1"/>
  <c r="CI213" i="1"/>
  <c r="AY213" i="1"/>
  <c r="BB213" i="1" s="1"/>
  <c r="CQ212" i="1"/>
  <c r="CN212" i="1"/>
  <c r="BA212" i="1"/>
  <c r="BI213" i="1"/>
  <c r="DF213" i="1"/>
  <c r="AM216" i="1"/>
  <c r="BU216" i="1" s="1"/>
  <c r="CK215" i="1"/>
  <c r="AP212" i="1"/>
  <c r="BJ212" i="1" s="1"/>
  <c r="CL211" i="1"/>
  <c r="BK211" i="1"/>
  <c r="AO214" i="1"/>
  <c r="BN211" i="1" l="1"/>
  <c r="BO211" i="1"/>
  <c r="CC279" i="1"/>
  <c r="CE279" i="1" s="1"/>
  <c r="CF279" i="1" s="1"/>
  <c r="AQ280" i="1"/>
  <c r="CE278" i="1"/>
  <c r="CF278" i="1" s="1"/>
  <c r="CA216" i="1"/>
  <c r="BW214" i="1"/>
  <c r="BX214" i="1" s="1"/>
  <c r="BZ214" i="1" s="1"/>
  <c r="BR214" i="1"/>
  <c r="CH216" i="1"/>
  <c r="BF212" i="1"/>
  <c r="BH211" i="1"/>
  <c r="BG211" i="1"/>
  <c r="CJ214" i="1"/>
  <c r="CI214" i="1"/>
  <c r="AJ215" i="1"/>
  <c r="AY214" i="1"/>
  <c r="BB214" i="1" s="1"/>
  <c r="BA213" i="1"/>
  <c r="CQ213" i="1"/>
  <c r="CN213" i="1"/>
  <c r="AM217" i="1"/>
  <c r="BU217" i="1" s="1"/>
  <c r="CA217" i="1" s="1"/>
  <c r="CB206" i="1" s="1"/>
  <c r="CK216" i="1"/>
  <c r="DF214" i="1"/>
  <c r="BI214" i="1"/>
  <c r="AP213" i="1"/>
  <c r="BJ213" i="1" s="1"/>
  <c r="CL212" i="1"/>
  <c r="BK212" i="1"/>
  <c r="AO215" i="1"/>
  <c r="BN212" i="1" l="1"/>
  <c r="BO212" i="1"/>
  <c r="CC280" i="1"/>
  <c r="AQ281" i="1"/>
  <c r="BW215" i="1"/>
  <c r="BX215" i="1" s="1"/>
  <c r="BZ215" i="1" s="1"/>
  <c r="BR215" i="1"/>
  <c r="CG206" i="1"/>
  <c r="BV206" i="1"/>
  <c r="BF213" i="1"/>
  <c r="BH212" i="1"/>
  <c r="BG212" i="1"/>
  <c r="BA214" i="1"/>
  <c r="CQ214" i="1"/>
  <c r="CN214" i="1"/>
  <c r="CJ215" i="1"/>
  <c r="AJ216" i="1"/>
  <c r="CI215" i="1"/>
  <c r="AY215" i="1"/>
  <c r="DF215" i="1"/>
  <c r="BI215" i="1"/>
  <c r="AM218" i="1"/>
  <c r="BU218" i="1" s="1"/>
  <c r="CA218" i="1" s="1"/>
  <c r="CK217" i="1"/>
  <c r="CZ206" i="1" s="1"/>
  <c r="AP214" i="1"/>
  <c r="BJ214" i="1" s="1"/>
  <c r="CL213" i="1"/>
  <c r="BK213" i="1"/>
  <c r="AO216" i="1"/>
  <c r="BN213" i="1" l="1"/>
  <c r="BO213" i="1"/>
  <c r="CC281" i="1"/>
  <c r="AQ282" i="1"/>
  <c r="CE280" i="1"/>
  <c r="CF280" i="1" s="1"/>
  <c r="BW216" i="1"/>
  <c r="BX216" i="1" s="1"/>
  <c r="BZ216" i="1" s="1"/>
  <c r="BR216" i="1"/>
  <c r="CH217" i="1"/>
  <c r="BF214" i="1"/>
  <c r="BH213" i="1"/>
  <c r="BG213" i="1"/>
  <c r="CQ215" i="1"/>
  <c r="CN215" i="1"/>
  <c r="CJ216" i="1"/>
  <c r="AJ217" i="1"/>
  <c r="CI216" i="1"/>
  <c r="AY216" i="1"/>
  <c r="BB216" i="1" s="1"/>
  <c r="BA215" i="1"/>
  <c r="BB215" i="1"/>
  <c r="AM219" i="1"/>
  <c r="BU219" i="1" s="1"/>
  <c r="CK218" i="1"/>
  <c r="BI216" i="1"/>
  <c r="DF216" i="1"/>
  <c r="AO217" i="1"/>
  <c r="AP215" i="1"/>
  <c r="BJ215" i="1" s="1"/>
  <c r="BK214" i="1"/>
  <c r="CL214" i="1"/>
  <c r="BN214" i="1" l="1"/>
  <c r="BO214" i="1"/>
  <c r="CC282" i="1"/>
  <c r="CE282" i="1" s="1"/>
  <c r="CF282" i="1" s="1"/>
  <c r="AQ283" i="1"/>
  <c r="CE281" i="1"/>
  <c r="CF281" i="1" s="1"/>
  <c r="CA219" i="1"/>
  <c r="BW217" i="1"/>
  <c r="BX217" i="1" s="1"/>
  <c r="BR217" i="1"/>
  <c r="BZ217" i="1"/>
  <c r="BY206" i="1"/>
  <c r="CH218" i="1"/>
  <c r="CH219" i="1" s="1"/>
  <c r="BH214" i="1"/>
  <c r="BG214" i="1"/>
  <c r="BK215" i="1"/>
  <c r="BF215" i="1"/>
  <c r="BA216" i="1"/>
  <c r="CJ217" i="1"/>
  <c r="AJ218" i="1"/>
  <c r="CI217" i="1"/>
  <c r="AY217" i="1"/>
  <c r="BB217" i="1" s="1"/>
  <c r="CQ216" i="1"/>
  <c r="CN216" i="1"/>
  <c r="BI217" i="1"/>
  <c r="DF217" i="1"/>
  <c r="AM220" i="1"/>
  <c r="BU220" i="1" s="1"/>
  <c r="CK219" i="1"/>
  <c r="AO218" i="1"/>
  <c r="AP216" i="1"/>
  <c r="BJ216" i="1" s="1"/>
  <c r="CL215" i="1"/>
  <c r="BN215" i="1" l="1"/>
  <c r="BO215" i="1"/>
  <c r="CC283" i="1"/>
  <c r="CE283" i="1" s="1"/>
  <c r="CF283" i="1" s="1"/>
  <c r="AQ284" i="1"/>
  <c r="CA220" i="1"/>
  <c r="BW218" i="1"/>
  <c r="BX218" i="1" s="1"/>
  <c r="BR218" i="1"/>
  <c r="BZ218" i="1"/>
  <c r="CH220" i="1"/>
  <c r="BK216" i="1"/>
  <c r="BF216" i="1"/>
  <c r="BG215" i="1"/>
  <c r="BH215" i="1"/>
  <c r="CQ217" i="1"/>
  <c r="CN217" i="1"/>
  <c r="CV207" i="1"/>
  <c r="BC206" i="1"/>
  <c r="BA217" i="1"/>
  <c r="CJ218" i="1"/>
  <c r="AJ219" i="1"/>
  <c r="CI218" i="1"/>
  <c r="AY218" i="1"/>
  <c r="BB218" i="1" s="1"/>
  <c r="AZ206" i="1"/>
  <c r="AM221" i="1"/>
  <c r="BU221" i="1" s="1"/>
  <c r="CK220" i="1"/>
  <c r="AP217" i="1"/>
  <c r="BJ217" i="1" s="1"/>
  <c r="CL216" i="1"/>
  <c r="AO219" i="1"/>
  <c r="BN216" i="1" l="1"/>
  <c r="BO216" i="1"/>
  <c r="CC284" i="1"/>
  <c r="CE284" i="1" s="1"/>
  <c r="CF284" i="1" s="1"/>
  <c r="AQ285" i="1"/>
  <c r="CA221" i="1"/>
  <c r="BW219" i="1"/>
  <c r="BX219" i="1" s="1"/>
  <c r="BZ219" i="1" s="1"/>
  <c r="BR219" i="1"/>
  <c r="CH221" i="1"/>
  <c r="BA218" i="1"/>
  <c r="BF217" i="1"/>
  <c r="BH216" i="1"/>
  <c r="BG216" i="1"/>
  <c r="CQ218" i="1"/>
  <c r="CN218" i="1"/>
  <c r="CJ219" i="1"/>
  <c r="CI219" i="1"/>
  <c r="AJ220" i="1"/>
  <c r="AY219" i="1"/>
  <c r="BB219" i="1" s="1"/>
  <c r="CW206" i="1"/>
  <c r="CY206" i="1"/>
  <c r="AM222" i="1"/>
  <c r="BU222" i="1" s="1"/>
  <c r="CK221" i="1"/>
  <c r="AO220" i="1"/>
  <c r="AP218" i="1"/>
  <c r="BJ218" i="1" s="1"/>
  <c r="CL217" i="1"/>
  <c r="DA206" i="1" s="1"/>
  <c r="BK217" i="1"/>
  <c r="BN217" i="1" l="1"/>
  <c r="BO217" i="1"/>
  <c r="CC285" i="1"/>
  <c r="CE285" i="1" s="1"/>
  <c r="CF285" i="1" s="1"/>
  <c r="AQ286" i="1"/>
  <c r="CA222" i="1"/>
  <c r="BW220" i="1"/>
  <c r="BX220" i="1" s="1"/>
  <c r="BZ220" i="1" s="1"/>
  <c r="BR220" i="1"/>
  <c r="CH222" i="1"/>
  <c r="BG217" i="1"/>
  <c r="BH217" i="1"/>
  <c r="BF218" i="1"/>
  <c r="CJ220" i="1"/>
  <c r="AJ221" i="1"/>
  <c r="CI220" i="1"/>
  <c r="AY220" i="1"/>
  <c r="BB220" i="1" s="1"/>
  <c r="CR206" i="1"/>
  <c r="CO206" i="1"/>
  <c r="CQ219" i="1"/>
  <c r="CN219" i="1"/>
  <c r="BA219" i="1"/>
  <c r="BI220" i="1"/>
  <c r="DF220" i="1"/>
  <c r="AM223" i="1"/>
  <c r="BU223" i="1" s="1"/>
  <c r="CK222" i="1"/>
  <c r="AP219" i="1"/>
  <c r="BJ219" i="1" s="1"/>
  <c r="CL218" i="1"/>
  <c r="AO221" i="1"/>
  <c r="CC286" i="1" l="1"/>
  <c r="CE286" i="1" s="1"/>
  <c r="CF286" i="1" s="1"/>
  <c r="AQ287" i="1"/>
  <c r="CA223" i="1"/>
  <c r="BW221" i="1"/>
  <c r="BX221" i="1" s="1"/>
  <c r="BZ221" i="1" s="1"/>
  <c r="BR221" i="1"/>
  <c r="CH223" i="1"/>
  <c r="BF219" i="1"/>
  <c r="BG218" i="1"/>
  <c r="CJ221" i="1"/>
  <c r="CI221" i="1"/>
  <c r="AJ222" i="1"/>
  <c r="AY221" i="1"/>
  <c r="BB221" i="1" s="1"/>
  <c r="BA220" i="1"/>
  <c r="CQ220" i="1"/>
  <c r="CN220" i="1"/>
  <c r="AM224" i="1"/>
  <c r="BU224" i="1" s="1"/>
  <c r="CK223" i="1"/>
  <c r="BI221" i="1"/>
  <c r="DF221" i="1"/>
  <c r="AO222" i="1"/>
  <c r="AP220" i="1"/>
  <c r="BJ220" i="1" s="1"/>
  <c r="CL219" i="1"/>
  <c r="CC287" i="1" l="1"/>
  <c r="CE287" i="1" s="1"/>
  <c r="CF287" i="1" s="1"/>
  <c r="AQ288" i="1"/>
  <c r="CA224" i="1"/>
  <c r="BW222" i="1"/>
  <c r="BX222" i="1" s="1"/>
  <c r="BZ222" i="1" s="1"/>
  <c r="BR222" i="1"/>
  <c r="CH224" i="1"/>
  <c r="BF220" i="1"/>
  <c r="BG219" i="1"/>
  <c r="BA221" i="1"/>
  <c r="CJ222" i="1"/>
  <c r="CI222" i="1"/>
  <c r="AJ223" i="1"/>
  <c r="AY222" i="1"/>
  <c r="BB222" i="1" s="1"/>
  <c r="CQ221" i="1"/>
  <c r="CN221" i="1"/>
  <c r="BI222" i="1"/>
  <c r="DF222" i="1"/>
  <c r="AM225" i="1"/>
  <c r="BU225" i="1" s="1"/>
  <c r="CK224" i="1"/>
  <c r="AP221" i="1"/>
  <c r="BJ221" i="1" s="1"/>
  <c r="BK220" i="1"/>
  <c r="CL220" i="1"/>
  <c r="AO223" i="1"/>
  <c r="BN220" i="1" l="1"/>
  <c r="BO220" i="1"/>
  <c r="CC288" i="1"/>
  <c r="CE288" i="1" s="1"/>
  <c r="CF288" i="1" s="1"/>
  <c r="AQ289" i="1"/>
  <c r="CA225" i="1"/>
  <c r="BW223" i="1"/>
  <c r="BX223" i="1" s="1"/>
  <c r="BZ223" i="1" s="1"/>
  <c r="BR223" i="1"/>
  <c r="CH225" i="1"/>
  <c r="BG220" i="1"/>
  <c r="BH220" i="1"/>
  <c r="BK221" i="1"/>
  <c r="BF221" i="1"/>
  <c r="CJ223" i="1"/>
  <c r="CI223" i="1"/>
  <c r="AJ224" i="1"/>
  <c r="AY223" i="1"/>
  <c r="BB223" i="1" s="1"/>
  <c r="BA222" i="1"/>
  <c r="CN222" i="1"/>
  <c r="CQ222" i="1"/>
  <c r="AM226" i="1"/>
  <c r="BU226" i="1" s="1"/>
  <c r="CK225" i="1"/>
  <c r="BI223" i="1"/>
  <c r="DF223" i="1"/>
  <c r="AO224" i="1"/>
  <c r="AP222" i="1"/>
  <c r="BJ222" i="1" s="1"/>
  <c r="CL221" i="1"/>
  <c r="BN221" i="1" l="1"/>
  <c r="BO221" i="1"/>
  <c r="CC289" i="1"/>
  <c r="AQ290" i="1"/>
  <c r="CA226" i="1"/>
  <c r="BW224" i="1"/>
  <c r="BX224" i="1" s="1"/>
  <c r="BZ224" i="1" s="1"/>
  <c r="BR224" i="1"/>
  <c r="CH226" i="1"/>
  <c r="BK222" i="1"/>
  <c r="BF222" i="1"/>
  <c r="BH221" i="1"/>
  <c r="BG221" i="1"/>
  <c r="BA223" i="1"/>
  <c r="CJ224" i="1"/>
  <c r="AJ225" i="1"/>
  <c r="CI224" i="1"/>
  <c r="AY224" i="1"/>
  <c r="BB224" i="1" s="1"/>
  <c r="CN223" i="1"/>
  <c r="CQ223" i="1"/>
  <c r="AM227" i="1"/>
  <c r="BU227" i="1" s="1"/>
  <c r="CK226" i="1"/>
  <c r="DF224" i="1"/>
  <c r="BI224" i="1"/>
  <c r="AP223" i="1"/>
  <c r="BJ223" i="1" s="1"/>
  <c r="CL222" i="1"/>
  <c r="AO225" i="1"/>
  <c r="BN222" i="1" l="1"/>
  <c r="BO222" i="1"/>
  <c r="CC290" i="1"/>
  <c r="AQ291" i="1"/>
  <c r="CE289" i="1"/>
  <c r="CF289" i="1" s="1"/>
  <c r="CD278" i="1"/>
  <c r="CA227" i="1"/>
  <c r="BW225" i="1"/>
  <c r="BX225" i="1" s="1"/>
  <c r="BZ225" i="1" s="1"/>
  <c r="BR225" i="1"/>
  <c r="CH227" i="1"/>
  <c r="BH222" i="1"/>
  <c r="BG222" i="1"/>
  <c r="BK223" i="1"/>
  <c r="BF223" i="1"/>
  <c r="CQ224" i="1"/>
  <c r="CN224" i="1"/>
  <c r="CJ225" i="1"/>
  <c r="AJ226" i="1"/>
  <c r="CI225" i="1"/>
  <c r="AY225" i="1"/>
  <c r="BB225" i="1" s="1"/>
  <c r="BA224" i="1"/>
  <c r="AM228" i="1"/>
  <c r="BU228" i="1" s="1"/>
  <c r="CK227" i="1"/>
  <c r="BI225" i="1"/>
  <c r="DF225" i="1"/>
  <c r="AO226" i="1"/>
  <c r="AP224" i="1"/>
  <c r="BJ224" i="1" s="1"/>
  <c r="CL223" i="1"/>
  <c r="BN223" i="1" l="1"/>
  <c r="BO223" i="1"/>
  <c r="CC291" i="1"/>
  <c r="CE291" i="1" s="1"/>
  <c r="CF291" i="1" s="1"/>
  <c r="AQ292" i="1"/>
  <c r="CE290" i="1"/>
  <c r="CF290" i="1" s="1"/>
  <c r="CA228" i="1"/>
  <c r="BW226" i="1"/>
  <c r="BX226" i="1" s="1"/>
  <c r="BZ226" i="1" s="1"/>
  <c r="BR226" i="1"/>
  <c r="CH228" i="1"/>
  <c r="BF224" i="1"/>
  <c r="BH223" i="1"/>
  <c r="BG223" i="1"/>
  <c r="CJ226" i="1"/>
  <c r="AJ227" i="1"/>
  <c r="CI226" i="1"/>
  <c r="AY226" i="1"/>
  <c r="BB226" i="1" s="1"/>
  <c r="CQ225" i="1"/>
  <c r="CN225" i="1"/>
  <c r="BA225" i="1"/>
  <c r="BI226" i="1"/>
  <c r="DF226" i="1"/>
  <c r="AM229" i="1"/>
  <c r="BU229" i="1" s="1"/>
  <c r="CA229" i="1" s="1"/>
  <c r="CB218" i="1" s="1"/>
  <c r="CK228" i="1"/>
  <c r="AP225" i="1"/>
  <c r="BJ225" i="1" s="1"/>
  <c r="BK224" i="1"/>
  <c r="CL224" i="1"/>
  <c r="AO227" i="1"/>
  <c r="BN224" i="1" l="1"/>
  <c r="BO224" i="1"/>
  <c r="CC292" i="1"/>
  <c r="AQ293" i="1"/>
  <c r="BW227" i="1"/>
  <c r="BX227" i="1" s="1"/>
  <c r="BZ227" i="1" s="1"/>
  <c r="BR227" i="1"/>
  <c r="CG218" i="1"/>
  <c r="BV218" i="1"/>
  <c r="BF225" i="1"/>
  <c r="BH224" i="1"/>
  <c r="BG224" i="1"/>
  <c r="BA226" i="1"/>
  <c r="CJ227" i="1"/>
  <c r="CI227" i="1"/>
  <c r="AJ228" i="1"/>
  <c r="AY227" i="1"/>
  <c r="BB227" i="1" s="1"/>
  <c r="CN226" i="1"/>
  <c r="CQ226" i="1"/>
  <c r="AM230" i="1"/>
  <c r="BU230" i="1" s="1"/>
  <c r="CK229" i="1"/>
  <c r="CZ218" i="1" s="1"/>
  <c r="BI227" i="1"/>
  <c r="DF227" i="1"/>
  <c r="AO228" i="1"/>
  <c r="AP226" i="1"/>
  <c r="BJ226" i="1" s="1"/>
  <c r="CL225" i="1"/>
  <c r="BK225" i="1"/>
  <c r="BN225" i="1" l="1"/>
  <c r="BO225" i="1"/>
  <c r="CC293" i="1"/>
  <c r="CE293" i="1" s="1"/>
  <c r="CF293" i="1" s="1"/>
  <c r="AQ294" i="1"/>
  <c r="CE292" i="1"/>
  <c r="CF292" i="1" s="1"/>
  <c r="CA230" i="1"/>
  <c r="BW228" i="1"/>
  <c r="BX228" i="1" s="1"/>
  <c r="BZ228" i="1" s="1"/>
  <c r="BR228" i="1"/>
  <c r="CH229" i="1"/>
  <c r="CH230" i="1" s="1"/>
  <c r="BF226" i="1"/>
  <c r="BH225" i="1"/>
  <c r="BG225" i="1"/>
  <c r="CJ228" i="1"/>
  <c r="CI228" i="1"/>
  <c r="AJ229" i="1"/>
  <c r="AY228" i="1"/>
  <c r="CQ227" i="1"/>
  <c r="CN227" i="1"/>
  <c r="BA227" i="1"/>
  <c r="BI228" i="1"/>
  <c r="DF228" i="1"/>
  <c r="AM231" i="1"/>
  <c r="BU231" i="1" s="1"/>
  <c r="CK230" i="1"/>
  <c r="AP227" i="1"/>
  <c r="BJ227" i="1" s="1"/>
  <c r="BK226" i="1"/>
  <c r="CL226" i="1"/>
  <c r="AO229" i="1"/>
  <c r="BN226" i="1" l="1"/>
  <c r="BO226" i="1"/>
  <c r="CC294" i="1"/>
  <c r="AQ295" i="1"/>
  <c r="CA231" i="1"/>
  <c r="BW229" i="1"/>
  <c r="BX229" i="1" s="1"/>
  <c r="BR229" i="1"/>
  <c r="BZ229" i="1"/>
  <c r="BY218" i="1"/>
  <c r="CH231" i="1"/>
  <c r="BF227" i="1"/>
  <c r="BG226" i="1"/>
  <c r="BH226" i="1"/>
  <c r="BA228" i="1"/>
  <c r="BB228" i="1"/>
  <c r="CJ229" i="1"/>
  <c r="AJ230" i="1"/>
  <c r="CI229" i="1"/>
  <c r="AY229" i="1"/>
  <c r="CN228" i="1"/>
  <c r="CQ228" i="1"/>
  <c r="DF229" i="1"/>
  <c r="BI229" i="1"/>
  <c r="AM232" i="1"/>
  <c r="BU232" i="1" s="1"/>
  <c r="CK231" i="1"/>
  <c r="AO230" i="1"/>
  <c r="AP228" i="1"/>
  <c r="BJ228" i="1" s="1"/>
  <c r="CL227" i="1"/>
  <c r="BK227" i="1"/>
  <c r="BN227" i="1" l="1"/>
  <c r="BO227" i="1"/>
  <c r="CC295" i="1"/>
  <c r="CE295" i="1" s="1"/>
  <c r="CF295" i="1" s="1"/>
  <c r="AQ296" i="1"/>
  <c r="CE294" i="1"/>
  <c r="CF294" i="1" s="1"/>
  <c r="CA232" i="1"/>
  <c r="BW230" i="1"/>
  <c r="BX230" i="1" s="1"/>
  <c r="BR230" i="1"/>
  <c r="BZ230" i="1"/>
  <c r="CH232" i="1"/>
  <c r="BK228" i="1"/>
  <c r="BF228" i="1"/>
  <c r="BH227" i="1"/>
  <c r="BG227" i="1"/>
  <c r="CJ230" i="1"/>
  <c r="CI230" i="1"/>
  <c r="AJ231" i="1"/>
  <c r="AY230" i="1"/>
  <c r="BB230" i="1" s="1"/>
  <c r="BB229" i="1"/>
  <c r="BC218" i="1"/>
  <c r="BA229" i="1"/>
  <c r="CQ229" i="1"/>
  <c r="CN229" i="1"/>
  <c r="CV219" i="1"/>
  <c r="AZ218" i="1"/>
  <c r="BI230" i="1"/>
  <c r="DF230" i="1"/>
  <c r="AM233" i="1"/>
  <c r="BU233" i="1" s="1"/>
  <c r="CK232" i="1"/>
  <c r="AP229" i="1"/>
  <c r="BJ229" i="1" s="1"/>
  <c r="CL228" i="1"/>
  <c r="AO231" i="1"/>
  <c r="BN228" i="1" l="1"/>
  <c r="BO228" i="1"/>
  <c r="CC296" i="1"/>
  <c r="CE296" i="1" s="1"/>
  <c r="CF296" i="1" s="1"/>
  <c r="AQ297" i="1"/>
  <c r="CA233" i="1"/>
  <c r="BW231" i="1"/>
  <c r="BX231" i="1" s="1"/>
  <c r="BZ231" i="1" s="1"/>
  <c r="BR231" i="1"/>
  <c r="CH233" i="1"/>
  <c r="BF229" i="1"/>
  <c r="BH228" i="1"/>
  <c r="BG228" i="1"/>
  <c r="CJ231" i="1"/>
  <c r="CI231" i="1"/>
  <c r="AJ232" i="1"/>
  <c r="AY231" i="1"/>
  <c r="BB231" i="1" s="1"/>
  <c r="CW218" i="1"/>
  <c r="CY218" i="1"/>
  <c r="BA230" i="1"/>
  <c r="CQ230" i="1"/>
  <c r="CN230" i="1"/>
  <c r="BI231" i="1"/>
  <c r="DF231" i="1"/>
  <c r="AM234" i="1"/>
  <c r="BU234" i="1" s="1"/>
  <c r="CA234" i="1" s="1"/>
  <c r="CK233" i="1"/>
  <c r="AO232" i="1"/>
  <c r="AP230" i="1"/>
  <c r="BJ230" i="1" s="1"/>
  <c r="CL229" i="1"/>
  <c r="DA218" i="1" s="1"/>
  <c r="BK229" i="1"/>
  <c r="BN229" i="1" l="1"/>
  <c r="BO229" i="1"/>
  <c r="CC297" i="1"/>
  <c r="CE297" i="1" s="1"/>
  <c r="CF297" i="1" s="1"/>
  <c r="AQ298" i="1"/>
  <c r="BW232" i="1"/>
  <c r="BX232" i="1" s="1"/>
  <c r="BZ232" i="1" s="1"/>
  <c r="BR232" i="1"/>
  <c r="CH234" i="1"/>
  <c r="BF230" i="1"/>
  <c r="BH229" i="1"/>
  <c r="BG229" i="1"/>
  <c r="CO218" i="1"/>
  <c r="CR218" i="1"/>
  <c r="CJ232" i="1"/>
  <c r="AJ233" i="1"/>
  <c r="CI232" i="1"/>
  <c r="AY232" i="1"/>
  <c r="BB232" i="1" s="1"/>
  <c r="BA231" i="1"/>
  <c r="CQ231" i="1"/>
  <c r="CN231" i="1"/>
  <c r="AM235" i="1"/>
  <c r="BU235" i="1" s="1"/>
  <c r="CK234" i="1"/>
  <c r="DF232" i="1"/>
  <c r="BI232" i="1"/>
  <c r="AP231" i="1"/>
  <c r="BJ231" i="1" s="1"/>
  <c r="BK230" i="1"/>
  <c r="CL230" i="1"/>
  <c r="AO233" i="1"/>
  <c r="BN230" i="1" l="1"/>
  <c r="BO230" i="1"/>
  <c r="CC298" i="1"/>
  <c r="CE298" i="1" s="1"/>
  <c r="CF298" i="1" s="1"/>
  <c r="AQ299" i="1"/>
  <c r="CA235" i="1"/>
  <c r="BW233" i="1"/>
  <c r="BX233" i="1" s="1"/>
  <c r="BZ233" i="1" s="1"/>
  <c r="BR233" i="1"/>
  <c r="CH235" i="1"/>
  <c r="BH230" i="1"/>
  <c r="BG230" i="1"/>
  <c r="BK231" i="1"/>
  <c r="BF231" i="1"/>
  <c r="BA232" i="1"/>
  <c r="CJ233" i="1"/>
  <c r="CI233" i="1"/>
  <c r="AJ234" i="1"/>
  <c r="AY233" i="1"/>
  <c r="CN232" i="1"/>
  <c r="CQ232" i="1"/>
  <c r="AM236" i="1"/>
  <c r="BU236" i="1" s="1"/>
  <c r="CK235" i="1"/>
  <c r="BI233" i="1"/>
  <c r="DF233" i="1"/>
  <c r="AO234" i="1"/>
  <c r="AP232" i="1"/>
  <c r="BJ232" i="1" s="1"/>
  <c r="CL231" i="1"/>
  <c r="BN231" i="1" l="1"/>
  <c r="BO231" i="1"/>
  <c r="CC299" i="1"/>
  <c r="CE299" i="1" s="1"/>
  <c r="CF299" i="1" s="1"/>
  <c r="AQ300" i="1"/>
  <c r="CA236" i="1"/>
  <c r="BW234" i="1"/>
  <c r="BX234" i="1" s="1"/>
  <c r="BZ234" i="1" s="1"/>
  <c r="BR234" i="1"/>
  <c r="CH236" i="1"/>
  <c r="BF232" i="1"/>
  <c r="BG231" i="1"/>
  <c r="BH231" i="1"/>
  <c r="BB233" i="1"/>
  <c r="BA233" i="1"/>
  <c r="CJ234" i="1"/>
  <c r="AJ235" i="1"/>
  <c r="CI234" i="1"/>
  <c r="AY234" i="1"/>
  <c r="BB234" i="1" s="1"/>
  <c r="CQ233" i="1"/>
  <c r="CN233" i="1"/>
  <c r="AM237" i="1"/>
  <c r="BU237" i="1" s="1"/>
  <c r="CK236" i="1"/>
  <c r="BI234" i="1"/>
  <c r="DF234" i="1"/>
  <c r="AP233" i="1"/>
  <c r="BJ233" i="1" s="1"/>
  <c r="BK232" i="1"/>
  <c r="CL232" i="1"/>
  <c r="AO235" i="1"/>
  <c r="BN232" i="1" l="1"/>
  <c r="BO232" i="1"/>
  <c r="CC300" i="1"/>
  <c r="CE300" i="1" s="1"/>
  <c r="CF300" i="1" s="1"/>
  <c r="AQ301" i="1"/>
  <c r="CC301" i="1" s="1"/>
  <c r="CA237" i="1"/>
  <c r="CH237" i="1"/>
  <c r="BW235" i="1"/>
  <c r="BX235" i="1" s="1"/>
  <c r="BZ235" i="1" s="1"/>
  <c r="BR235" i="1"/>
  <c r="BF233" i="1"/>
  <c r="BG232" i="1"/>
  <c r="BH232" i="1"/>
  <c r="BA234" i="1"/>
  <c r="CJ235" i="1"/>
  <c r="AJ236" i="1"/>
  <c r="CI235" i="1"/>
  <c r="AY235" i="1"/>
  <c r="BB235" i="1" s="1"/>
  <c r="CQ234" i="1"/>
  <c r="CN234" i="1"/>
  <c r="DF235" i="1"/>
  <c r="BI235" i="1"/>
  <c r="AM238" i="1"/>
  <c r="BU238" i="1" s="1"/>
  <c r="CK237" i="1"/>
  <c r="AO236" i="1"/>
  <c r="AP234" i="1"/>
  <c r="BJ234" i="1" s="1"/>
  <c r="CL233" i="1"/>
  <c r="BK233" i="1"/>
  <c r="BN233" i="1" l="1"/>
  <c r="BO233" i="1"/>
  <c r="CE301" i="1"/>
  <c r="CF301" i="1" s="1"/>
  <c r="CD290" i="1"/>
  <c r="CH238" i="1"/>
  <c r="CA238" i="1"/>
  <c r="BW236" i="1"/>
  <c r="BX236" i="1" s="1"/>
  <c r="BZ236" i="1" s="1"/>
  <c r="BR236" i="1"/>
  <c r="BH233" i="1"/>
  <c r="BG233" i="1"/>
  <c r="BK234" i="1"/>
  <c r="BF234" i="1"/>
  <c r="CJ236" i="1"/>
  <c r="CI236" i="1"/>
  <c r="AJ237" i="1"/>
  <c r="AY236" i="1"/>
  <c r="BB236" i="1" s="1"/>
  <c r="CN235" i="1"/>
  <c r="CQ235" i="1"/>
  <c r="BA235" i="1"/>
  <c r="AM239" i="1"/>
  <c r="BU239" i="1" s="1"/>
  <c r="CK238" i="1"/>
  <c r="DF236" i="1"/>
  <c r="BI236" i="1"/>
  <c r="AP235" i="1"/>
  <c r="BJ235" i="1" s="1"/>
  <c r="CL234" i="1"/>
  <c r="AO237" i="1"/>
  <c r="BN234" i="1" l="1"/>
  <c r="BO234" i="1"/>
  <c r="CH239" i="1"/>
  <c r="CA239" i="1"/>
  <c r="BW237" i="1"/>
  <c r="BX237" i="1" s="1"/>
  <c r="BZ237" i="1" s="1"/>
  <c r="BR237" i="1"/>
  <c r="BF235" i="1"/>
  <c r="BG234" i="1"/>
  <c r="BH234" i="1"/>
  <c r="BA236" i="1"/>
  <c r="CJ237" i="1"/>
  <c r="CI237" i="1"/>
  <c r="AJ238" i="1"/>
  <c r="AY237" i="1"/>
  <c r="BB237" i="1" s="1"/>
  <c r="CN236" i="1"/>
  <c r="CQ236" i="1"/>
  <c r="BI237" i="1"/>
  <c r="DF237" i="1"/>
  <c r="AM240" i="1"/>
  <c r="BU240" i="1" s="1"/>
  <c r="CK239" i="1"/>
  <c r="AO238" i="1"/>
  <c r="AP236" i="1"/>
  <c r="BJ236" i="1" s="1"/>
  <c r="CL235" i="1"/>
  <c r="BK235" i="1"/>
  <c r="BN235" i="1" l="1"/>
  <c r="BO235" i="1"/>
  <c r="CH240" i="1"/>
  <c r="CA240" i="1"/>
  <c r="BW238" i="1"/>
  <c r="BX238" i="1" s="1"/>
  <c r="BZ238" i="1" s="1"/>
  <c r="BR238" i="1"/>
  <c r="BF236" i="1"/>
  <c r="BG235" i="1"/>
  <c r="BH235" i="1"/>
  <c r="CJ238" i="1"/>
  <c r="AJ239" i="1"/>
  <c r="CI238" i="1"/>
  <c r="AY238" i="1"/>
  <c r="BB238" i="1" s="1"/>
  <c r="CN237" i="1"/>
  <c r="CQ237" i="1"/>
  <c r="BA237" i="1"/>
  <c r="AM241" i="1"/>
  <c r="BU241" i="1" s="1"/>
  <c r="CA241" i="1" s="1"/>
  <c r="CB230" i="1" s="1"/>
  <c r="CK240" i="1"/>
  <c r="BI238" i="1"/>
  <c r="DF238" i="1"/>
  <c r="AP237" i="1"/>
  <c r="BJ237" i="1" s="1"/>
  <c r="CL236" i="1"/>
  <c r="BK236" i="1"/>
  <c r="AO239" i="1"/>
  <c r="BN236" i="1" l="1"/>
  <c r="BO236" i="1"/>
  <c r="BW239" i="1"/>
  <c r="BX239" i="1" s="1"/>
  <c r="BZ239" i="1" s="1"/>
  <c r="BR239" i="1"/>
  <c r="BV230" i="1"/>
  <c r="BG236" i="1"/>
  <c r="BH236" i="1"/>
  <c r="BK237" i="1"/>
  <c r="BF237" i="1"/>
  <c r="AM242" i="1"/>
  <c r="BU242" i="1" s="1"/>
  <c r="BA238" i="1"/>
  <c r="CJ239" i="1"/>
  <c r="CI239" i="1"/>
  <c r="AJ240" i="1"/>
  <c r="AY239" i="1"/>
  <c r="CN238" i="1"/>
  <c r="CQ238" i="1"/>
  <c r="BI239" i="1"/>
  <c r="DF239" i="1"/>
  <c r="CK241" i="1"/>
  <c r="CZ230" i="1" s="1"/>
  <c r="AO240" i="1"/>
  <c r="AP238" i="1"/>
  <c r="BJ238" i="1" s="1"/>
  <c r="CL237" i="1"/>
  <c r="BN237" i="1" l="1"/>
  <c r="BO237" i="1"/>
  <c r="CA242" i="1"/>
  <c r="BW240" i="1"/>
  <c r="BX240" i="1" s="1"/>
  <c r="BZ240" i="1" s="1"/>
  <c r="BR240" i="1"/>
  <c r="CG230" i="1"/>
  <c r="CH241" i="1"/>
  <c r="CH242" i="1" s="1"/>
  <c r="BF238" i="1"/>
  <c r="BH237" i="1"/>
  <c r="BG237" i="1"/>
  <c r="BA239" i="1"/>
  <c r="BB239" i="1"/>
  <c r="CJ240" i="1"/>
  <c r="AJ241" i="1"/>
  <c r="CI240" i="1"/>
  <c r="AY240" i="1"/>
  <c r="BB240" i="1" s="1"/>
  <c r="CQ239" i="1"/>
  <c r="CN239" i="1"/>
  <c r="CK242" i="1"/>
  <c r="AM243" i="1"/>
  <c r="BU243" i="1" s="1"/>
  <c r="BI240" i="1"/>
  <c r="DF240" i="1"/>
  <c r="AP239" i="1"/>
  <c r="BJ239" i="1" s="1"/>
  <c r="BK238" i="1"/>
  <c r="CL238" i="1"/>
  <c r="AO241" i="1"/>
  <c r="AO242" i="1" s="1"/>
  <c r="BN238" i="1" l="1"/>
  <c r="BO238" i="1"/>
  <c r="CA243" i="1"/>
  <c r="BW241" i="1"/>
  <c r="BX241" i="1" s="1"/>
  <c r="BR241" i="1"/>
  <c r="BZ241" i="1"/>
  <c r="BY230" i="1"/>
  <c r="CH243" i="1"/>
  <c r="BF239" i="1"/>
  <c r="BH238" i="1"/>
  <c r="BG238" i="1"/>
  <c r="AM244" i="1"/>
  <c r="BU244" i="1" s="1"/>
  <c r="CK243" i="1"/>
  <c r="CQ240" i="1"/>
  <c r="CN240" i="1"/>
  <c r="CJ241" i="1"/>
  <c r="AJ242" i="1"/>
  <c r="CI241" i="1"/>
  <c r="AY241" i="1"/>
  <c r="BC230" i="1" s="1"/>
  <c r="AO243" i="1"/>
  <c r="BA240" i="1"/>
  <c r="BI241" i="1"/>
  <c r="DF241" i="1"/>
  <c r="DG230" i="1" s="1"/>
  <c r="AP240" i="1"/>
  <c r="BJ240" i="1" s="1"/>
  <c r="BK239" i="1"/>
  <c r="CL239" i="1"/>
  <c r="BN239" i="1" l="1"/>
  <c r="BO239" i="1"/>
  <c r="CA244" i="1"/>
  <c r="BW242" i="1"/>
  <c r="BX242" i="1" s="1"/>
  <c r="BR242" i="1"/>
  <c r="CH244" i="1"/>
  <c r="BZ242" i="1"/>
  <c r="BF240" i="1"/>
  <c r="BA241" i="1"/>
  <c r="BH239" i="1"/>
  <c r="BG239" i="1"/>
  <c r="CJ242" i="1"/>
  <c r="AJ243" i="1"/>
  <c r="CI242" i="1"/>
  <c r="AY242" i="1"/>
  <c r="BI242" i="1"/>
  <c r="AO244" i="1"/>
  <c r="CN241" i="1"/>
  <c r="CQ241" i="1"/>
  <c r="CV231" i="1"/>
  <c r="BB241" i="1"/>
  <c r="AZ230" i="1"/>
  <c r="CK244" i="1"/>
  <c r="AM245" i="1"/>
  <c r="BU245" i="1" s="1"/>
  <c r="AP241" i="1"/>
  <c r="BJ241" i="1" s="1"/>
  <c r="BK240" i="1"/>
  <c r="CL240" i="1"/>
  <c r="BN240" i="1" l="1"/>
  <c r="BO240" i="1"/>
  <c r="CH245" i="1"/>
  <c r="CA245" i="1"/>
  <c r="BW243" i="1"/>
  <c r="BX243" i="1" s="1"/>
  <c r="BZ243" i="1" s="1"/>
  <c r="BR243" i="1"/>
  <c r="BF241" i="1"/>
  <c r="BG241" i="1" s="1"/>
  <c r="BK241" i="1"/>
  <c r="BH240" i="1"/>
  <c r="BG240" i="1"/>
  <c r="AP242" i="1"/>
  <c r="BJ242" i="1" s="1"/>
  <c r="BB242" i="1"/>
  <c r="CJ243" i="1"/>
  <c r="CI243" i="1"/>
  <c r="AJ244" i="1"/>
  <c r="AY243" i="1"/>
  <c r="BB243" i="1" s="1"/>
  <c r="BI243" i="1"/>
  <c r="AM246" i="1"/>
  <c r="BU246" i="1" s="1"/>
  <c r="CA246" i="1" s="1"/>
  <c r="CK245" i="1"/>
  <c r="AO245" i="1"/>
  <c r="CN242" i="1"/>
  <c r="CQ242" i="1"/>
  <c r="CW230" i="1"/>
  <c r="CY230" i="1"/>
  <c r="BA242" i="1"/>
  <c r="CL241" i="1"/>
  <c r="DA230" i="1" s="1"/>
  <c r="BN241" i="1" l="1"/>
  <c r="BO241" i="1"/>
  <c r="BH241" i="1"/>
  <c r="BW244" i="1"/>
  <c r="BX244" i="1" s="1"/>
  <c r="BZ244" i="1" s="1"/>
  <c r="BR244" i="1"/>
  <c r="AP243" i="1"/>
  <c r="BJ243" i="1" s="1"/>
  <c r="CH246" i="1"/>
  <c r="BK242" i="1"/>
  <c r="BF242" i="1"/>
  <c r="CL242" i="1"/>
  <c r="BL230" i="1"/>
  <c r="CK246" i="1"/>
  <c r="AM247" i="1"/>
  <c r="BU247" i="1" s="1"/>
  <c r="BK243" i="1"/>
  <c r="CR230" i="1"/>
  <c r="CO230" i="1"/>
  <c r="CJ244" i="1"/>
  <c r="CI244" i="1"/>
  <c r="AJ245" i="1"/>
  <c r="AY244" i="1"/>
  <c r="BB244" i="1" s="1"/>
  <c r="BI244" i="1"/>
  <c r="CN243" i="1"/>
  <c r="CQ243" i="1"/>
  <c r="BA243" i="1"/>
  <c r="AO246" i="1"/>
  <c r="CL243" i="1"/>
  <c r="BN243" i="1" l="1"/>
  <c r="BO243" i="1"/>
  <c r="BN242" i="1"/>
  <c r="BO242" i="1"/>
  <c r="AP244" i="1"/>
  <c r="BJ244" i="1" s="1"/>
  <c r="CA247" i="1"/>
  <c r="BF243" i="1"/>
  <c r="BG243" i="1" s="1"/>
  <c r="BW245" i="1"/>
  <c r="BX245" i="1" s="1"/>
  <c r="BZ245" i="1" s="1"/>
  <c r="BR245" i="1"/>
  <c r="CH247" i="1"/>
  <c r="BF244" i="1"/>
  <c r="BH244" i="1" s="1"/>
  <c r="BG242" i="1"/>
  <c r="BH242" i="1"/>
  <c r="AO247" i="1"/>
  <c r="AP245" i="1"/>
  <c r="BF245" i="1" s="1"/>
  <c r="CL244" i="1"/>
  <c r="BA244" i="1"/>
  <c r="CJ245" i="1"/>
  <c r="CI245" i="1"/>
  <c r="AJ246" i="1"/>
  <c r="AY245" i="1"/>
  <c r="BB245" i="1" s="1"/>
  <c r="BI245" i="1"/>
  <c r="CQ244" i="1"/>
  <c r="CN244" i="1"/>
  <c r="AM248" i="1"/>
  <c r="BU248" i="1" s="1"/>
  <c r="CK247" i="1"/>
  <c r="BK244" i="1"/>
  <c r="BN244" i="1" l="1"/>
  <c r="BO244" i="1"/>
  <c r="CA248" i="1"/>
  <c r="BH243" i="1"/>
  <c r="BW246" i="1"/>
  <c r="BX246" i="1" s="1"/>
  <c r="BZ246" i="1" s="1"/>
  <c r="BR246" i="1"/>
  <c r="CH248" i="1"/>
  <c r="BG244" i="1"/>
  <c r="BJ245" i="1"/>
  <c r="BK245" i="1" s="1"/>
  <c r="BH245" i="1"/>
  <c r="BG245" i="1"/>
  <c r="BA245" i="1"/>
  <c r="CJ246" i="1"/>
  <c r="CI246" i="1"/>
  <c r="AJ247" i="1"/>
  <c r="AY246" i="1"/>
  <c r="BI246" i="1"/>
  <c r="CN245" i="1"/>
  <c r="CQ245" i="1"/>
  <c r="AP246" i="1"/>
  <c r="BF246" i="1" s="1"/>
  <c r="CL245" i="1"/>
  <c r="CK248" i="1"/>
  <c r="AM249" i="1"/>
  <c r="BU249" i="1" s="1"/>
  <c r="AO248" i="1"/>
  <c r="BN245" i="1" l="1"/>
  <c r="BO245" i="1"/>
  <c r="CA249" i="1"/>
  <c r="BW247" i="1"/>
  <c r="BX247" i="1" s="1"/>
  <c r="BZ247" i="1" s="1"/>
  <c r="BR247" i="1"/>
  <c r="CH249" i="1"/>
  <c r="BJ246" i="1"/>
  <c r="BK246" i="1" s="1"/>
  <c r="BG246" i="1"/>
  <c r="BH246" i="1"/>
  <c r="CJ247" i="1"/>
  <c r="AY247" i="1"/>
  <c r="BB247" i="1" s="1"/>
  <c r="AJ248" i="1"/>
  <c r="CI247" i="1"/>
  <c r="BI247" i="1"/>
  <c r="CQ246" i="1"/>
  <c r="CN246" i="1"/>
  <c r="BB246" i="1"/>
  <c r="CK249" i="1"/>
  <c r="AM250" i="1"/>
  <c r="BU250" i="1" s="1"/>
  <c r="AO249" i="1"/>
  <c r="AP247" i="1"/>
  <c r="BJ247" i="1" s="1"/>
  <c r="CL246" i="1"/>
  <c r="BA246" i="1"/>
  <c r="BN246" i="1" l="1"/>
  <c r="BO246" i="1"/>
  <c r="CA250" i="1"/>
  <c r="BW248" i="1"/>
  <c r="BX248" i="1" s="1"/>
  <c r="BZ248" i="1" s="1"/>
  <c r="BR248" i="1"/>
  <c r="CH250" i="1"/>
  <c r="BF247" i="1"/>
  <c r="BG247" i="1" s="1"/>
  <c r="AP248" i="1"/>
  <c r="BF248" i="1" s="1"/>
  <c r="CL247" i="1"/>
  <c r="BK247" i="1"/>
  <c r="BA247" i="1"/>
  <c r="CQ247" i="1"/>
  <c r="CN247" i="1"/>
  <c r="AO250" i="1"/>
  <c r="CJ248" i="1"/>
  <c r="AJ249" i="1"/>
  <c r="AY248" i="1"/>
  <c r="CI248" i="1"/>
  <c r="BI248" i="1"/>
  <c r="CK250" i="1"/>
  <c r="AM251" i="1"/>
  <c r="BU251" i="1" s="1"/>
  <c r="BN247" i="1" l="1"/>
  <c r="BO247" i="1"/>
  <c r="CA251" i="1"/>
  <c r="BW249" i="1"/>
  <c r="BX249" i="1" s="1"/>
  <c r="BZ249" i="1" s="1"/>
  <c r="BR249" i="1"/>
  <c r="CH251" i="1"/>
  <c r="BJ248" i="1"/>
  <c r="BK248" i="1" s="1"/>
  <c r="BH247" i="1"/>
  <c r="BG248" i="1"/>
  <c r="BH248" i="1"/>
  <c r="BB248" i="1"/>
  <c r="BA248" i="1"/>
  <c r="AP249" i="1"/>
  <c r="BJ249" i="1" s="1"/>
  <c r="CL248" i="1"/>
  <c r="AM252" i="1"/>
  <c r="BU252" i="1" s="1"/>
  <c r="CK251" i="1"/>
  <c r="CJ249" i="1"/>
  <c r="AJ250" i="1"/>
  <c r="AY249" i="1"/>
  <c r="BB249" i="1" s="1"/>
  <c r="CI249" i="1"/>
  <c r="BI249" i="1"/>
  <c r="CN248" i="1"/>
  <c r="CQ248" i="1"/>
  <c r="AO251" i="1"/>
  <c r="BN248" i="1" l="1"/>
  <c r="BO248" i="1"/>
  <c r="CA252" i="1"/>
  <c r="BW250" i="1"/>
  <c r="BX250" i="1" s="1"/>
  <c r="BZ250" i="1" s="1"/>
  <c r="BR250" i="1"/>
  <c r="BF249" i="1"/>
  <c r="BG249" i="1" s="1"/>
  <c r="CH252" i="1"/>
  <c r="BH249" i="1"/>
  <c r="CJ250" i="1"/>
  <c r="CI250" i="1"/>
  <c r="AJ251" i="1"/>
  <c r="AY250" i="1"/>
  <c r="BB250" i="1" s="1"/>
  <c r="BI250" i="1"/>
  <c r="CN249" i="1"/>
  <c r="CQ249" i="1"/>
  <c r="AM253" i="1"/>
  <c r="BU253" i="1" s="1"/>
  <c r="CA253" i="1" s="1"/>
  <c r="CB242" i="1" s="1"/>
  <c r="CK252" i="1"/>
  <c r="AO252" i="1"/>
  <c r="AP250" i="1"/>
  <c r="BJ250" i="1" s="1"/>
  <c r="CL249" i="1"/>
  <c r="BA249" i="1"/>
  <c r="BK249" i="1"/>
  <c r="BN249" i="1" l="1"/>
  <c r="BO249" i="1"/>
  <c r="BF250" i="1"/>
  <c r="BW251" i="1"/>
  <c r="BX251" i="1" s="1"/>
  <c r="BZ251" i="1" s="1"/>
  <c r="BR251" i="1"/>
  <c r="CG242" i="1"/>
  <c r="BV242" i="1"/>
  <c r="BG250" i="1"/>
  <c r="BH250" i="1"/>
  <c r="BK250" i="1"/>
  <c r="BA250" i="1"/>
  <c r="CJ251" i="1"/>
  <c r="CI251" i="1"/>
  <c r="AJ252" i="1"/>
  <c r="AY251" i="1"/>
  <c r="BB251" i="1" s="1"/>
  <c r="BI251" i="1"/>
  <c r="AP251" i="1"/>
  <c r="BJ251" i="1" s="1"/>
  <c r="CL250" i="1"/>
  <c r="AM254" i="1"/>
  <c r="BU254" i="1" s="1"/>
  <c r="CA254" i="1" s="1"/>
  <c r="CK253" i="1"/>
  <c r="CZ242" i="1" s="1"/>
  <c r="CN250" i="1"/>
  <c r="CQ250" i="1"/>
  <c r="AO253" i="1"/>
  <c r="BN250" i="1" l="1"/>
  <c r="BO250" i="1"/>
  <c r="BW252" i="1"/>
  <c r="BX252" i="1" s="1"/>
  <c r="BZ252" i="1" s="1"/>
  <c r="BR252" i="1"/>
  <c r="CH253" i="1"/>
  <c r="BF251" i="1"/>
  <c r="AO254" i="1"/>
  <c r="CJ252" i="1"/>
  <c r="AJ253" i="1"/>
  <c r="AY252" i="1"/>
  <c r="BB252" i="1" s="1"/>
  <c r="CI252" i="1"/>
  <c r="BI252" i="1"/>
  <c r="AM255" i="1"/>
  <c r="BU255" i="1" s="1"/>
  <c r="CK254" i="1"/>
  <c r="AP252" i="1"/>
  <c r="BF252" i="1" s="1"/>
  <c r="CL251" i="1"/>
  <c r="BA251" i="1"/>
  <c r="CN251" i="1"/>
  <c r="CQ251" i="1"/>
  <c r="BK251" i="1"/>
  <c r="BN251" i="1" l="1"/>
  <c r="BO251" i="1"/>
  <c r="CA255" i="1"/>
  <c r="BW253" i="1"/>
  <c r="BX253" i="1" s="1"/>
  <c r="BR253" i="1"/>
  <c r="BZ253" i="1"/>
  <c r="BY242" i="1"/>
  <c r="CH254" i="1"/>
  <c r="CH255" i="1" s="1"/>
  <c r="BJ252" i="1"/>
  <c r="BK252" i="1" s="1"/>
  <c r="BH252" i="1"/>
  <c r="BG252" i="1"/>
  <c r="BG251" i="1"/>
  <c r="BH251" i="1"/>
  <c r="BA252" i="1"/>
  <c r="CJ253" i="1"/>
  <c r="AJ254" i="1"/>
  <c r="CI253" i="1"/>
  <c r="BI253" i="1"/>
  <c r="AY253" i="1"/>
  <c r="AO255" i="1"/>
  <c r="CK255" i="1"/>
  <c r="AM256" i="1"/>
  <c r="BU256" i="1" s="1"/>
  <c r="CN252" i="1"/>
  <c r="CQ252" i="1"/>
  <c r="AP253" i="1"/>
  <c r="BF253" i="1" s="1"/>
  <c r="CL252" i="1"/>
  <c r="BN252" i="1" l="1"/>
  <c r="BO252" i="1"/>
  <c r="CA256" i="1"/>
  <c r="BW254" i="1"/>
  <c r="BX254" i="1" s="1"/>
  <c r="BR254" i="1"/>
  <c r="BZ254" i="1"/>
  <c r="CH256" i="1"/>
  <c r="BJ253" i="1"/>
  <c r="BK253" i="1" s="1"/>
  <c r="BH253" i="1"/>
  <c r="BG253" i="1"/>
  <c r="BA253" i="1"/>
  <c r="BB253" i="1"/>
  <c r="BC242" i="1"/>
  <c r="AZ242" i="1"/>
  <c r="CN253" i="1"/>
  <c r="CQ253" i="1"/>
  <c r="CV243" i="1"/>
  <c r="AJ255" i="1"/>
  <c r="CJ254" i="1"/>
  <c r="AY254" i="1"/>
  <c r="CI254" i="1"/>
  <c r="BI254" i="1"/>
  <c r="AP254" i="1"/>
  <c r="BJ254" i="1" s="1"/>
  <c r="CL253" i="1"/>
  <c r="DA242" i="1" s="1"/>
  <c r="AO256" i="1"/>
  <c r="CK256" i="1"/>
  <c r="AM257" i="1"/>
  <c r="BU257" i="1" s="1"/>
  <c r="BN253" i="1" l="1"/>
  <c r="BO253" i="1"/>
  <c r="CA257" i="1"/>
  <c r="BW255" i="1"/>
  <c r="BX255" i="1" s="1"/>
  <c r="BZ255" i="1" s="1"/>
  <c r="BR255" i="1"/>
  <c r="CH257" i="1"/>
  <c r="BA254" i="1"/>
  <c r="BF254" i="1"/>
  <c r="BL242" i="1"/>
  <c r="BK254" i="1"/>
  <c r="CK257" i="1"/>
  <c r="AM258" i="1"/>
  <c r="BU258" i="1" s="1"/>
  <c r="AP255" i="1"/>
  <c r="BF255" i="1" s="1"/>
  <c r="CL254" i="1"/>
  <c r="CQ254" i="1"/>
  <c r="CN254" i="1"/>
  <c r="BB254" i="1"/>
  <c r="CJ255" i="1"/>
  <c r="CI255" i="1"/>
  <c r="AJ256" i="1"/>
  <c r="AY255" i="1"/>
  <c r="BB255" i="1" s="1"/>
  <c r="BI255" i="1"/>
  <c r="AO257" i="1"/>
  <c r="CW242" i="1"/>
  <c r="CY242" i="1"/>
  <c r="BN254" i="1" l="1"/>
  <c r="BO254" i="1"/>
  <c r="CA258" i="1"/>
  <c r="BW256" i="1"/>
  <c r="BX256" i="1" s="1"/>
  <c r="BZ256" i="1" s="1"/>
  <c r="BR256" i="1"/>
  <c r="CH258" i="1"/>
  <c r="BJ255" i="1"/>
  <c r="BK255" i="1" s="1"/>
  <c r="BH255" i="1"/>
  <c r="BG255" i="1"/>
  <c r="BH254" i="1"/>
  <c r="BG254" i="1"/>
  <c r="AP256" i="1"/>
  <c r="BJ256" i="1" s="1"/>
  <c r="CL255" i="1"/>
  <c r="CR242" i="1"/>
  <c r="CO242" i="1"/>
  <c r="CK258" i="1"/>
  <c r="AM259" i="1"/>
  <c r="BU259" i="1" s="1"/>
  <c r="AO258" i="1"/>
  <c r="CN255" i="1"/>
  <c r="CQ255" i="1"/>
  <c r="CJ256" i="1"/>
  <c r="AY256" i="1"/>
  <c r="CI256" i="1"/>
  <c r="AJ257" i="1"/>
  <c r="BI256" i="1"/>
  <c r="BA255" i="1"/>
  <c r="BN255" i="1" l="1"/>
  <c r="BO255" i="1"/>
  <c r="CA259" i="1"/>
  <c r="BW257" i="1"/>
  <c r="BX257" i="1" s="1"/>
  <c r="BZ257" i="1" s="1"/>
  <c r="BR257" i="1"/>
  <c r="CH259" i="1"/>
  <c r="BF256" i="1"/>
  <c r="BH256" i="1" s="1"/>
  <c r="AP257" i="1"/>
  <c r="BJ257" i="1" s="1"/>
  <c r="CL256" i="1"/>
  <c r="CN256" i="1"/>
  <c r="CQ256" i="1"/>
  <c r="BK256" i="1"/>
  <c r="CK259" i="1"/>
  <c r="AM260" i="1"/>
  <c r="BU260" i="1" s="1"/>
  <c r="BB256" i="1"/>
  <c r="AO259" i="1"/>
  <c r="BA256" i="1"/>
  <c r="CJ257" i="1"/>
  <c r="CI257" i="1"/>
  <c r="AJ258" i="1"/>
  <c r="AY257" i="1"/>
  <c r="BI257" i="1"/>
  <c r="BN256" i="1" l="1"/>
  <c r="BO256" i="1"/>
  <c r="CA260" i="1"/>
  <c r="BG256" i="1"/>
  <c r="BW258" i="1"/>
  <c r="BX258" i="1" s="1"/>
  <c r="BZ258" i="1" s="1"/>
  <c r="BR258" i="1"/>
  <c r="CH260" i="1"/>
  <c r="BF257" i="1"/>
  <c r="AO260" i="1"/>
  <c r="BA257" i="1"/>
  <c r="CJ258" i="1"/>
  <c r="AJ259" i="1"/>
  <c r="AY258" i="1"/>
  <c r="BB258" i="1" s="1"/>
  <c r="CI258" i="1"/>
  <c r="BI258" i="1"/>
  <c r="CN257" i="1"/>
  <c r="CQ257" i="1"/>
  <c r="AM261" i="1"/>
  <c r="BU261" i="1" s="1"/>
  <c r="CK260" i="1"/>
  <c r="AP258" i="1"/>
  <c r="BJ258" i="1" s="1"/>
  <c r="CL257" i="1"/>
  <c r="BB257" i="1"/>
  <c r="BK257" i="1"/>
  <c r="BN257" i="1" l="1"/>
  <c r="BO257" i="1"/>
  <c r="CA261" i="1"/>
  <c r="BW259" i="1"/>
  <c r="BX259" i="1" s="1"/>
  <c r="BZ259" i="1" s="1"/>
  <c r="BR259" i="1"/>
  <c r="CH261" i="1"/>
  <c r="BH257" i="1"/>
  <c r="BG257" i="1"/>
  <c r="BF258" i="1"/>
  <c r="BA258" i="1"/>
  <c r="AP259" i="1"/>
  <c r="BJ259" i="1" s="1"/>
  <c r="CL258" i="1"/>
  <c r="AO261" i="1"/>
  <c r="CJ259" i="1"/>
  <c r="CI259" i="1"/>
  <c r="AJ260" i="1"/>
  <c r="AY259" i="1"/>
  <c r="BI259" i="1"/>
  <c r="AM262" i="1"/>
  <c r="BU262" i="1" s="1"/>
  <c r="CK261" i="1"/>
  <c r="CQ258" i="1"/>
  <c r="CN258" i="1"/>
  <c r="BK258" i="1"/>
  <c r="BN258" i="1" l="1"/>
  <c r="BO258" i="1"/>
  <c r="CA262" i="1"/>
  <c r="BW260" i="1"/>
  <c r="BX260" i="1" s="1"/>
  <c r="BZ260" i="1" s="1"/>
  <c r="BR260" i="1"/>
  <c r="CH262" i="1"/>
  <c r="BA259" i="1"/>
  <c r="BG258" i="1"/>
  <c r="BH258" i="1"/>
  <c r="BF259" i="1"/>
  <c r="BK259" i="1"/>
  <c r="CN259" i="1"/>
  <c r="CQ259" i="1"/>
  <c r="AO262" i="1"/>
  <c r="BB259" i="1"/>
  <c r="AM263" i="1"/>
  <c r="BU263" i="1" s="1"/>
  <c r="CK262" i="1"/>
  <c r="AP260" i="1"/>
  <c r="BJ260" i="1" s="1"/>
  <c r="CL259" i="1"/>
  <c r="CJ260" i="1"/>
  <c r="AJ261" i="1"/>
  <c r="CI260" i="1"/>
  <c r="AY260" i="1"/>
  <c r="BB260" i="1" s="1"/>
  <c r="BI260" i="1"/>
  <c r="BN259" i="1" l="1"/>
  <c r="BO259" i="1"/>
  <c r="CA263" i="1"/>
  <c r="BW261" i="1"/>
  <c r="BX261" i="1" s="1"/>
  <c r="BZ261" i="1" s="1"/>
  <c r="BR261" i="1"/>
  <c r="CH263" i="1"/>
  <c r="BH259" i="1"/>
  <c r="BG259" i="1"/>
  <c r="BF260" i="1"/>
  <c r="BK260" i="1"/>
  <c r="BA260" i="1"/>
  <c r="CQ260" i="1"/>
  <c r="CN260" i="1"/>
  <c r="AO263" i="1"/>
  <c r="AM264" i="1"/>
  <c r="BU264" i="1" s="1"/>
  <c r="CK263" i="1"/>
  <c r="AP261" i="1"/>
  <c r="BJ261" i="1" s="1"/>
  <c r="CL260" i="1"/>
  <c r="CJ261" i="1"/>
  <c r="CI261" i="1"/>
  <c r="AY261" i="1"/>
  <c r="BB261" i="1" s="1"/>
  <c r="AJ262" i="1"/>
  <c r="BI261" i="1"/>
  <c r="BN260" i="1" l="1"/>
  <c r="BO260" i="1"/>
  <c r="CA264" i="1"/>
  <c r="BW262" i="1"/>
  <c r="BX262" i="1" s="1"/>
  <c r="BZ262" i="1" s="1"/>
  <c r="BR262" i="1"/>
  <c r="CH264" i="1"/>
  <c r="BG260" i="1"/>
  <c r="BH260" i="1"/>
  <c r="BF261" i="1"/>
  <c r="BK261" i="1"/>
  <c r="AM265" i="1"/>
  <c r="BU265" i="1" s="1"/>
  <c r="CA265" i="1" s="1"/>
  <c r="CB254" i="1" s="1"/>
  <c r="CK264" i="1"/>
  <c r="CJ262" i="1"/>
  <c r="CI262" i="1"/>
  <c r="AY262" i="1"/>
  <c r="BB262" i="1" s="1"/>
  <c r="AJ263" i="1"/>
  <c r="BI262" i="1"/>
  <c r="BA261" i="1"/>
  <c r="AP262" i="1"/>
  <c r="BF262" i="1" s="1"/>
  <c r="CL261" i="1"/>
  <c r="CQ261" i="1"/>
  <c r="CN261" i="1"/>
  <c r="AO264" i="1"/>
  <c r="BN261" i="1" l="1"/>
  <c r="BO261" i="1"/>
  <c r="BW263" i="1"/>
  <c r="BX263" i="1" s="1"/>
  <c r="BZ263" i="1" s="1"/>
  <c r="BR263" i="1"/>
  <c r="CG254" i="1"/>
  <c r="BV254" i="1"/>
  <c r="BJ262" i="1"/>
  <c r="BK262" i="1" s="1"/>
  <c r="BG262" i="1"/>
  <c r="BH262" i="1"/>
  <c r="BG261" i="1"/>
  <c r="BH261" i="1"/>
  <c r="BA262" i="1"/>
  <c r="AO265" i="1"/>
  <c r="CN262" i="1"/>
  <c r="CQ262" i="1"/>
  <c r="AM266" i="1"/>
  <c r="BU266" i="1" s="1"/>
  <c r="CA266" i="1" s="1"/>
  <c r="CK265" i="1"/>
  <c r="CZ254" i="1" s="1"/>
  <c r="AP263" i="1"/>
  <c r="BF263" i="1" s="1"/>
  <c r="CL262" i="1"/>
  <c r="CJ263" i="1"/>
  <c r="AY263" i="1"/>
  <c r="BB263" i="1" s="1"/>
  <c r="CI263" i="1"/>
  <c r="AJ264" i="1"/>
  <c r="BI263" i="1"/>
  <c r="BN262" i="1" l="1"/>
  <c r="BO262" i="1"/>
  <c r="BW264" i="1"/>
  <c r="BX264" i="1" s="1"/>
  <c r="BZ264" i="1" s="1"/>
  <c r="BR264" i="1"/>
  <c r="CH265" i="1"/>
  <c r="BJ263" i="1"/>
  <c r="BK263" i="1" s="1"/>
  <c r="BH263" i="1"/>
  <c r="BG263" i="1"/>
  <c r="AM267" i="1"/>
  <c r="BU267" i="1" s="1"/>
  <c r="CK266" i="1"/>
  <c r="CQ263" i="1"/>
  <c r="CN263" i="1"/>
  <c r="CJ264" i="1"/>
  <c r="CI264" i="1"/>
  <c r="AY264" i="1"/>
  <c r="BB264" i="1" s="1"/>
  <c r="AJ265" i="1"/>
  <c r="BI264" i="1"/>
  <c r="AO266" i="1"/>
  <c r="AP264" i="1"/>
  <c r="BF264" i="1" s="1"/>
  <c r="CL263" i="1"/>
  <c r="BA263" i="1"/>
  <c r="BN263" i="1" l="1"/>
  <c r="BO263" i="1"/>
  <c r="CA267" i="1"/>
  <c r="BW265" i="1"/>
  <c r="BX265" i="1" s="1"/>
  <c r="BR265" i="1"/>
  <c r="BZ265" i="1"/>
  <c r="BY254" i="1"/>
  <c r="CH266" i="1"/>
  <c r="CH267" i="1" s="1"/>
  <c r="BJ264" i="1"/>
  <c r="BK264" i="1" s="1"/>
  <c r="BG264" i="1"/>
  <c r="BH264" i="1"/>
  <c r="BA264" i="1"/>
  <c r="AP265" i="1"/>
  <c r="BJ265" i="1" s="1"/>
  <c r="CL264" i="1"/>
  <c r="CJ265" i="1"/>
  <c r="AJ266" i="1"/>
  <c r="AY265" i="1"/>
  <c r="CI265" i="1"/>
  <c r="BI265" i="1"/>
  <c r="AM268" i="1"/>
  <c r="BU268" i="1" s="1"/>
  <c r="CK267" i="1"/>
  <c r="AO267" i="1"/>
  <c r="CQ264" i="1"/>
  <c r="CN264" i="1"/>
  <c r="BN264" i="1" l="1"/>
  <c r="BO264" i="1"/>
  <c r="CA268" i="1"/>
  <c r="BW266" i="1"/>
  <c r="BX266" i="1" s="1"/>
  <c r="BR266" i="1"/>
  <c r="BZ266" i="1"/>
  <c r="CH268" i="1"/>
  <c r="BA265" i="1"/>
  <c r="BF265" i="1"/>
  <c r="BK265" i="1"/>
  <c r="AO268" i="1"/>
  <c r="BB265" i="1"/>
  <c r="AZ254" i="1"/>
  <c r="BC254" i="1"/>
  <c r="CJ266" i="1"/>
  <c r="CI266" i="1"/>
  <c r="AY266" i="1"/>
  <c r="AJ267" i="1"/>
  <c r="BI266" i="1"/>
  <c r="AP266" i="1"/>
  <c r="BJ266" i="1" s="1"/>
  <c r="CL265" i="1"/>
  <c r="DA254" i="1" s="1"/>
  <c r="CK268" i="1"/>
  <c r="AM269" i="1"/>
  <c r="BU269" i="1" s="1"/>
  <c r="CN265" i="1"/>
  <c r="CQ265" i="1"/>
  <c r="CV255" i="1"/>
  <c r="BN265" i="1" l="1"/>
  <c r="BO265" i="1"/>
  <c r="CA269" i="1"/>
  <c r="BW267" i="1"/>
  <c r="BX267" i="1" s="1"/>
  <c r="BZ267" i="1" s="1"/>
  <c r="BR267" i="1"/>
  <c r="BA266" i="1"/>
  <c r="CH269" i="1"/>
  <c r="BG265" i="1"/>
  <c r="BH265" i="1"/>
  <c r="BF266" i="1"/>
  <c r="BL254" i="1"/>
  <c r="AO269" i="1"/>
  <c r="AP267" i="1"/>
  <c r="BF267" i="1" s="1"/>
  <c r="CL266" i="1"/>
  <c r="CJ267" i="1"/>
  <c r="CI267" i="1"/>
  <c r="AJ268" i="1"/>
  <c r="AY267" i="1"/>
  <c r="BB267" i="1" s="1"/>
  <c r="BI267" i="1"/>
  <c r="BK266" i="1"/>
  <c r="CW254" i="1"/>
  <c r="CY254" i="1"/>
  <c r="CQ266" i="1"/>
  <c r="CN266" i="1"/>
  <c r="CK269" i="1"/>
  <c r="AM270" i="1"/>
  <c r="BU270" i="1" s="1"/>
  <c r="BB266" i="1"/>
  <c r="BN266" i="1" l="1"/>
  <c r="BO266" i="1"/>
  <c r="CA270" i="1"/>
  <c r="BW268" i="1"/>
  <c r="BX268" i="1" s="1"/>
  <c r="BZ268" i="1" s="1"/>
  <c r="BR268" i="1"/>
  <c r="CH270" i="1"/>
  <c r="BJ267" i="1"/>
  <c r="BK267" i="1" s="1"/>
  <c r="BH267" i="1"/>
  <c r="BG267" i="1"/>
  <c r="BG266" i="1"/>
  <c r="BH266" i="1"/>
  <c r="CJ268" i="1"/>
  <c r="AY268" i="1"/>
  <c r="BB268" i="1" s="1"/>
  <c r="AJ269" i="1"/>
  <c r="CI268" i="1"/>
  <c r="BI268" i="1"/>
  <c r="BA267" i="1"/>
  <c r="CO254" i="1"/>
  <c r="CR254" i="1"/>
  <c r="CK270" i="1"/>
  <c r="AM271" i="1"/>
  <c r="BU271" i="1" s="1"/>
  <c r="AP268" i="1"/>
  <c r="BJ268" i="1" s="1"/>
  <c r="CL267" i="1"/>
  <c r="CQ267" i="1"/>
  <c r="CN267" i="1"/>
  <c r="AO270" i="1"/>
  <c r="BN267" i="1" l="1"/>
  <c r="BO267" i="1"/>
  <c r="CA271" i="1"/>
  <c r="BW269" i="1"/>
  <c r="BX269" i="1" s="1"/>
  <c r="BZ269" i="1" s="1"/>
  <c r="BR269" i="1"/>
  <c r="CH271" i="1"/>
  <c r="BF268" i="1"/>
  <c r="BA268" i="1"/>
  <c r="AO271" i="1"/>
  <c r="AP269" i="1"/>
  <c r="BF269" i="1" s="1"/>
  <c r="CL268" i="1"/>
  <c r="CJ269" i="1"/>
  <c r="AJ270" i="1"/>
  <c r="AY269" i="1"/>
  <c r="CI269" i="1"/>
  <c r="BI269" i="1"/>
  <c r="CK271" i="1"/>
  <c r="AM272" i="1"/>
  <c r="BU272" i="1" s="1"/>
  <c r="CN268" i="1"/>
  <c r="CQ268" i="1"/>
  <c r="BK268" i="1"/>
  <c r="BN268" i="1" l="1"/>
  <c r="BO268" i="1"/>
  <c r="CA272" i="1"/>
  <c r="BW270" i="1"/>
  <c r="BX270" i="1" s="1"/>
  <c r="BZ270" i="1" s="1"/>
  <c r="BR270" i="1"/>
  <c r="CH272" i="1"/>
  <c r="BJ269" i="1"/>
  <c r="BK269" i="1" s="1"/>
  <c r="BH269" i="1"/>
  <c r="BG269" i="1"/>
  <c r="BG268" i="1"/>
  <c r="BH268" i="1"/>
  <c r="AP270" i="1"/>
  <c r="BJ270" i="1" s="1"/>
  <c r="CL269" i="1"/>
  <c r="AM273" i="1"/>
  <c r="BU273" i="1" s="1"/>
  <c r="CK272" i="1"/>
  <c r="AO272" i="1"/>
  <c r="BB269" i="1"/>
  <c r="BA269" i="1"/>
  <c r="CJ270" i="1"/>
  <c r="AY270" i="1"/>
  <c r="BB270" i="1" s="1"/>
  <c r="CI270" i="1"/>
  <c r="AJ271" i="1"/>
  <c r="BI270" i="1"/>
  <c r="CQ269" i="1"/>
  <c r="CN269" i="1"/>
  <c r="BN269" i="1" l="1"/>
  <c r="BO269" i="1"/>
  <c r="BF270" i="1"/>
  <c r="BG270" i="1" s="1"/>
  <c r="CA273" i="1"/>
  <c r="BW271" i="1"/>
  <c r="BX271" i="1" s="1"/>
  <c r="BZ271" i="1" s="1"/>
  <c r="BR271" i="1"/>
  <c r="CH273" i="1"/>
  <c r="BA270" i="1"/>
  <c r="CN270" i="1"/>
  <c r="CQ270" i="1"/>
  <c r="AM274" i="1"/>
  <c r="BU274" i="1" s="1"/>
  <c r="CK273" i="1"/>
  <c r="CJ271" i="1"/>
  <c r="AY271" i="1"/>
  <c r="AJ272" i="1"/>
  <c r="CI271" i="1"/>
  <c r="BI271" i="1"/>
  <c r="AP271" i="1"/>
  <c r="BJ271" i="1" s="1"/>
  <c r="CL270" i="1"/>
  <c r="BK270" i="1"/>
  <c r="AO273" i="1"/>
  <c r="BN270" i="1" l="1"/>
  <c r="BO270" i="1"/>
  <c r="BF271" i="1"/>
  <c r="CA274" i="1"/>
  <c r="BH270" i="1"/>
  <c r="BW272" i="1"/>
  <c r="BX272" i="1" s="1"/>
  <c r="BZ272" i="1" s="1"/>
  <c r="BR272" i="1"/>
  <c r="CH274" i="1"/>
  <c r="BH271" i="1"/>
  <c r="BG271" i="1"/>
  <c r="BK271" i="1"/>
  <c r="BA271" i="1"/>
  <c r="BB271" i="1"/>
  <c r="CK274" i="1"/>
  <c r="AM275" i="1"/>
  <c r="BU275" i="1" s="1"/>
  <c r="AP272" i="1"/>
  <c r="BF272" i="1" s="1"/>
  <c r="CL271" i="1"/>
  <c r="CJ272" i="1"/>
  <c r="CI272" i="1"/>
  <c r="AJ273" i="1"/>
  <c r="AY272" i="1"/>
  <c r="BB272" i="1" s="1"/>
  <c r="BI272" i="1"/>
  <c r="AO274" i="1"/>
  <c r="CN271" i="1"/>
  <c r="CQ271" i="1"/>
  <c r="BN271" i="1" l="1"/>
  <c r="BO271" i="1"/>
  <c r="CA275" i="1"/>
  <c r="BW273" i="1"/>
  <c r="BX273" i="1" s="1"/>
  <c r="BZ273" i="1" s="1"/>
  <c r="BR273" i="1"/>
  <c r="CH275" i="1"/>
  <c r="BJ272" i="1"/>
  <c r="BH272" i="1"/>
  <c r="BG272" i="1"/>
  <c r="BA272" i="1"/>
  <c r="AO275" i="1"/>
  <c r="CJ273" i="1"/>
  <c r="CI273" i="1"/>
  <c r="AY273" i="1"/>
  <c r="AJ274" i="1"/>
  <c r="BI273" i="1"/>
  <c r="CQ272" i="1"/>
  <c r="CN272" i="1"/>
  <c r="AP273" i="1"/>
  <c r="BF273" i="1" s="1"/>
  <c r="CL272" i="1"/>
  <c r="CK275" i="1"/>
  <c r="AM276" i="1"/>
  <c r="BU276" i="1" s="1"/>
  <c r="BK272" i="1"/>
  <c r="BN272" i="1" l="1"/>
  <c r="BO272" i="1"/>
  <c r="CA276" i="1"/>
  <c r="BW274" i="1"/>
  <c r="BX274" i="1" s="1"/>
  <c r="BZ274" i="1" s="1"/>
  <c r="BR274" i="1"/>
  <c r="BJ273" i="1"/>
  <c r="BK273" i="1" s="1"/>
  <c r="CH276" i="1"/>
  <c r="BG273" i="1"/>
  <c r="BH273" i="1"/>
  <c r="BA273" i="1"/>
  <c r="CJ274" i="1"/>
  <c r="AY274" i="1"/>
  <c r="BB274" i="1" s="1"/>
  <c r="CI274" i="1"/>
  <c r="AJ275" i="1"/>
  <c r="BI274" i="1"/>
  <c r="AP274" i="1"/>
  <c r="BJ274" i="1" s="1"/>
  <c r="CL273" i="1"/>
  <c r="CQ273" i="1"/>
  <c r="CN273" i="1"/>
  <c r="CK276" i="1"/>
  <c r="AM277" i="1"/>
  <c r="BU277" i="1" s="1"/>
  <c r="CA277" i="1" s="1"/>
  <c r="CB266" i="1" s="1"/>
  <c r="BB273" i="1"/>
  <c r="AO276" i="1"/>
  <c r="BN273" i="1" l="1"/>
  <c r="BO273" i="1"/>
  <c r="BW275" i="1"/>
  <c r="BX275" i="1" s="1"/>
  <c r="BZ275" i="1" s="1"/>
  <c r="BR275" i="1"/>
  <c r="CG266" i="1"/>
  <c r="BV266" i="1"/>
  <c r="BJ275" i="1"/>
  <c r="BF274" i="1"/>
  <c r="BA274" i="1"/>
  <c r="AO277" i="1"/>
  <c r="AP275" i="1"/>
  <c r="CL274" i="1"/>
  <c r="CQ274" i="1"/>
  <c r="CN274" i="1"/>
  <c r="BK274" i="1"/>
  <c r="CJ275" i="1"/>
  <c r="AJ276" i="1"/>
  <c r="AY275" i="1"/>
  <c r="BB275" i="1" s="1"/>
  <c r="CI275" i="1"/>
  <c r="BI275" i="1"/>
  <c r="AM278" i="1"/>
  <c r="BU278" i="1" s="1"/>
  <c r="CK277" i="1"/>
  <c r="CZ266" i="1" s="1"/>
  <c r="BN274" i="1" l="1"/>
  <c r="BO274" i="1"/>
  <c r="CA278" i="1"/>
  <c r="BW276" i="1"/>
  <c r="BX276" i="1" s="1"/>
  <c r="BZ276" i="1" s="1"/>
  <c r="BR276" i="1"/>
  <c r="CH277" i="1"/>
  <c r="CH278" i="1" s="1"/>
  <c r="BF275" i="1"/>
  <c r="BG274" i="1"/>
  <c r="BH274" i="1"/>
  <c r="AM279" i="1"/>
  <c r="BU279" i="1" s="1"/>
  <c r="CK278" i="1"/>
  <c r="AP276" i="1"/>
  <c r="BF276" i="1" s="1"/>
  <c r="CL275" i="1"/>
  <c r="AO278" i="1"/>
  <c r="CJ276" i="1"/>
  <c r="AY276" i="1"/>
  <c r="BB276" i="1" s="1"/>
  <c r="CI276" i="1"/>
  <c r="AJ277" i="1"/>
  <c r="BI276" i="1"/>
  <c r="CQ275" i="1"/>
  <c r="CN275" i="1"/>
  <c r="BK275" i="1"/>
  <c r="BA275" i="1"/>
  <c r="BN275" i="1" l="1"/>
  <c r="BO275" i="1"/>
  <c r="CA279" i="1"/>
  <c r="BW277" i="1"/>
  <c r="BX277" i="1" s="1"/>
  <c r="BR277" i="1"/>
  <c r="BZ277" i="1"/>
  <c r="BY266" i="1"/>
  <c r="CH279" i="1"/>
  <c r="BJ276" i="1"/>
  <c r="BK276" i="1" s="1"/>
  <c r="BG276" i="1"/>
  <c r="BH276" i="1"/>
  <c r="BG275" i="1"/>
  <c r="BH275" i="1"/>
  <c r="BA276" i="1"/>
  <c r="AO279" i="1"/>
  <c r="CN276" i="1"/>
  <c r="CQ276" i="1"/>
  <c r="CJ277" i="1"/>
  <c r="AJ278" i="1"/>
  <c r="AY277" i="1"/>
  <c r="CI277" i="1"/>
  <c r="BI277" i="1"/>
  <c r="AP277" i="1"/>
  <c r="BF277" i="1" s="1"/>
  <c r="CL276" i="1"/>
  <c r="AM280" i="1"/>
  <c r="BU280" i="1" s="1"/>
  <c r="CK279" i="1"/>
  <c r="BN276" i="1" l="1"/>
  <c r="BO276" i="1"/>
  <c r="CA280" i="1"/>
  <c r="BW278" i="1"/>
  <c r="BX278" i="1" s="1"/>
  <c r="BR278" i="1"/>
  <c r="CH280" i="1"/>
  <c r="BZ278" i="1"/>
  <c r="BJ277" i="1"/>
  <c r="BK277" i="1" s="1"/>
  <c r="BH277" i="1"/>
  <c r="BG277" i="1"/>
  <c r="CJ278" i="1"/>
  <c r="AY278" i="1"/>
  <c r="CI278" i="1"/>
  <c r="AJ279" i="1"/>
  <c r="BI278" i="1"/>
  <c r="AP278" i="1"/>
  <c r="BJ278" i="1" s="1"/>
  <c r="CL277" i="1"/>
  <c r="DA266" i="1" s="1"/>
  <c r="BB277" i="1"/>
  <c r="AZ266" i="1"/>
  <c r="BC266" i="1"/>
  <c r="AO280" i="1"/>
  <c r="BA277" i="1"/>
  <c r="CQ277" i="1"/>
  <c r="CN277" i="1"/>
  <c r="CV267" i="1"/>
  <c r="AM281" i="1"/>
  <c r="BU281" i="1" s="1"/>
  <c r="CK280" i="1"/>
  <c r="BN277" i="1" l="1"/>
  <c r="BO277" i="1"/>
  <c r="CH281" i="1"/>
  <c r="CA281" i="1"/>
  <c r="BW279" i="1"/>
  <c r="BX279" i="1" s="1"/>
  <c r="BZ279" i="1" s="1"/>
  <c r="BR279" i="1"/>
  <c r="BF278" i="1"/>
  <c r="BL266" i="1"/>
  <c r="BB278" i="1"/>
  <c r="BA278" i="1"/>
  <c r="AP279" i="1"/>
  <c r="BJ279" i="1" s="1"/>
  <c r="CL278" i="1"/>
  <c r="CQ278" i="1"/>
  <c r="CN278" i="1"/>
  <c r="BK278" i="1"/>
  <c r="AO281" i="1"/>
  <c r="CK281" i="1"/>
  <c r="AM282" i="1"/>
  <c r="BU282" i="1" s="1"/>
  <c r="CA282" i="1" s="1"/>
  <c r="CW266" i="1"/>
  <c r="CY266" i="1"/>
  <c r="CJ279" i="1"/>
  <c r="CI279" i="1"/>
  <c r="AJ280" i="1"/>
  <c r="AY279" i="1"/>
  <c r="BB279" i="1" s="1"/>
  <c r="BI279" i="1"/>
  <c r="BN278" i="1" l="1"/>
  <c r="BO278" i="1"/>
  <c r="BW280" i="1"/>
  <c r="BX280" i="1" s="1"/>
  <c r="BZ280" i="1" s="1"/>
  <c r="BR280" i="1"/>
  <c r="CH282" i="1"/>
  <c r="BF279" i="1"/>
  <c r="BH278" i="1"/>
  <c r="BG278" i="1"/>
  <c r="BA279" i="1"/>
  <c r="AP280" i="1"/>
  <c r="BJ280" i="1" s="1"/>
  <c r="CL279" i="1"/>
  <c r="CO266" i="1"/>
  <c r="CR266" i="1"/>
  <c r="BK279" i="1"/>
  <c r="AO282" i="1"/>
  <c r="CK282" i="1"/>
  <c r="AM283" i="1"/>
  <c r="BU283" i="1" s="1"/>
  <c r="CJ280" i="1"/>
  <c r="AJ281" i="1"/>
  <c r="AY280" i="1"/>
  <c r="CI280" i="1"/>
  <c r="BI280" i="1"/>
  <c r="CQ279" i="1"/>
  <c r="CN279" i="1"/>
  <c r="BN279" i="1" l="1"/>
  <c r="BO279" i="1"/>
  <c r="CA283" i="1"/>
  <c r="BW281" i="1"/>
  <c r="BX281" i="1" s="1"/>
  <c r="BZ281" i="1" s="1"/>
  <c r="BR281" i="1"/>
  <c r="CH283" i="1"/>
  <c r="BH279" i="1"/>
  <c r="BG279" i="1"/>
  <c r="BF280" i="1"/>
  <c r="BA280" i="1"/>
  <c r="CJ281" i="1"/>
  <c r="AJ282" i="1"/>
  <c r="AY281" i="1"/>
  <c r="BB281" i="1" s="1"/>
  <c r="CI281" i="1"/>
  <c r="BI281" i="1"/>
  <c r="CN280" i="1"/>
  <c r="CQ280" i="1"/>
  <c r="BB280" i="1"/>
  <c r="AP281" i="1"/>
  <c r="BF281" i="1" s="1"/>
  <c r="CL280" i="1"/>
  <c r="CK283" i="1"/>
  <c r="AM284" i="1"/>
  <c r="BU284" i="1" s="1"/>
  <c r="BK280" i="1"/>
  <c r="AO283" i="1"/>
  <c r="BN280" i="1" l="1"/>
  <c r="BO280" i="1"/>
  <c r="CA284" i="1"/>
  <c r="BW282" i="1"/>
  <c r="BX282" i="1" s="1"/>
  <c r="BZ282" i="1" s="1"/>
  <c r="BR282" i="1"/>
  <c r="CH284" i="1"/>
  <c r="BJ281" i="1"/>
  <c r="BK281" i="1" s="1"/>
  <c r="BH281" i="1"/>
  <c r="BG281" i="1"/>
  <c r="BG280" i="1"/>
  <c r="BH280" i="1"/>
  <c r="AO284" i="1"/>
  <c r="AM285" i="1"/>
  <c r="BU285" i="1" s="1"/>
  <c r="CK284" i="1"/>
  <c r="BA281" i="1"/>
  <c r="CJ282" i="1"/>
  <c r="AY282" i="1"/>
  <c r="CI282" i="1"/>
  <c r="AJ283" i="1"/>
  <c r="BI282" i="1"/>
  <c r="CN281" i="1"/>
  <c r="CQ281" i="1"/>
  <c r="AP282" i="1"/>
  <c r="BJ282" i="1" s="1"/>
  <c r="CL281" i="1"/>
  <c r="BN281" i="1" l="1"/>
  <c r="BO281" i="1"/>
  <c r="CA285" i="1"/>
  <c r="BW283" i="1"/>
  <c r="BX283" i="1" s="1"/>
  <c r="BZ283" i="1" s="1"/>
  <c r="BR283" i="1"/>
  <c r="CH285" i="1"/>
  <c r="BF282" i="1"/>
  <c r="AP283" i="1"/>
  <c r="BJ283" i="1" s="1"/>
  <c r="CL282" i="1"/>
  <c r="CK285" i="1"/>
  <c r="AM286" i="1"/>
  <c r="BU286" i="1" s="1"/>
  <c r="BB282" i="1"/>
  <c r="BK282" i="1"/>
  <c r="AO285" i="1"/>
  <c r="CN282" i="1"/>
  <c r="CQ282" i="1"/>
  <c r="CJ283" i="1"/>
  <c r="AY283" i="1"/>
  <c r="BB283" i="1" s="1"/>
  <c r="AJ284" i="1"/>
  <c r="CI283" i="1"/>
  <c r="BI283" i="1"/>
  <c r="BA282" i="1"/>
  <c r="BN282" i="1" l="1"/>
  <c r="BO282" i="1"/>
  <c r="CA286" i="1"/>
  <c r="BW284" i="1"/>
  <c r="BX284" i="1" s="1"/>
  <c r="BZ284" i="1" s="1"/>
  <c r="BR284" i="1"/>
  <c r="CH286" i="1"/>
  <c r="BF283" i="1"/>
  <c r="BH282" i="1"/>
  <c r="BG282" i="1"/>
  <c r="BA283" i="1"/>
  <c r="CJ284" i="1"/>
  <c r="AJ285" i="1"/>
  <c r="AY284" i="1"/>
  <c r="BB284" i="1" s="1"/>
  <c r="CI284" i="1"/>
  <c r="BI284" i="1"/>
  <c r="AO286" i="1"/>
  <c r="CQ283" i="1"/>
  <c r="CN283" i="1"/>
  <c r="AP284" i="1"/>
  <c r="BF284" i="1" s="1"/>
  <c r="CL283" i="1"/>
  <c r="CK286" i="1"/>
  <c r="AM287" i="1"/>
  <c r="BU287" i="1" s="1"/>
  <c r="BK283" i="1"/>
  <c r="BN283" i="1" l="1"/>
  <c r="BO283" i="1"/>
  <c r="CA287" i="1"/>
  <c r="BW285" i="1"/>
  <c r="BX285" i="1" s="1"/>
  <c r="BZ285" i="1" s="1"/>
  <c r="BR285" i="1"/>
  <c r="CH287" i="1"/>
  <c r="BJ284" i="1"/>
  <c r="BK284" i="1" s="1"/>
  <c r="BG284" i="1"/>
  <c r="BH284" i="1"/>
  <c r="BH283" i="1"/>
  <c r="BG283" i="1"/>
  <c r="CK287" i="1"/>
  <c r="AM288" i="1"/>
  <c r="BU288" i="1" s="1"/>
  <c r="CJ285" i="1"/>
  <c r="CI285" i="1"/>
  <c r="AY285" i="1"/>
  <c r="BB285" i="1" s="1"/>
  <c r="AJ286" i="1"/>
  <c r="BI285" i="1"/>
  <c r="BA284" i="1"/>
  <c r="AP285" i="1"/>
  <c r="BJ285" i="1" s="1"/>
  <c r="CL284" i="1"/>
  <c r="AO287" i="1"/>
  <c r="CQ284" i="1"/>
  <c r="CN284" i="1"/>
  <c r="BN284" i="1" l="1"/>
  <c r="BO284" i="1"/>
  <c r="BF285" i="1"/>
  <c r="CA288" i="1"/>
  <c r="BW286" i="1"/>
  <c r="BX286" i="1" s="1"/>
  <c r="BZ286" i="1" s="1"/>
  <c r="BR286" i="1"/>
  <c r="CH288" i="1"/>
  <c r="BH285" i="1"/>
  <c r="BG285" i="1"/>
  <c r="BK285" i="1"/>
  <c r="BA285" i="1"/>
  <c r="AP286" i="1"/>
  <c r="BJ286" i="1" s="1"/>
  <c r="CL285" i="1"/>
  <c r="CQ285" i="1"/>
  <c r="CN285" i="1"/>
  <c r="AO288" i="1"/>
  <c r="AM289" i="1"/>
  <c r="BU289" i="1" s="1"/>
  <c r="CA289" i="1" s="1"/>
  <c r="CB278" i="1" s="1"/>
  <c r="CK288" i="1"/>
  <c r="CJ286" i="1"/>
  <c r="AJ287" i="1"/>
  <c r="AY286" i="1"/>
  <c r="BB286" i="1" s="1"/>
  <c r="CI286" i="1"/>
  <c r="BI286" i="1"/>
  <c r="BN285" i="1" l="1"/>
  <c r="BO285" i="1"/>
  <c r="BW287" i="1"/>
  <c r="BX287" i="1" s="1"/>
  <c r="BZ287" i="1" s="1"/>
  <c r="BR287" i="1"/>
  <c r="BV278" i="1"/>
  <c r="BF286" i="1"/>
  <c r="BA286" i="1"/>
  <c r="CJ287" i="1"/>
  <c r="CI287" i="1"/>
  <c r="AJ288" i="1"/>
  <c r="AY287" i="1"/>
  <c r="BB287" i="1" s="1"/>
  <c r="BI287" i="1"/>
  <c r="CQ286" i="1"/>
  <c r="CN286" i="1"/>
  <c r="AP287" i="1"/>
  <c r="BJ287" i="1" s="1"/>
  <c r="CL286" i="1"/>
  <c r="BK286" i="1"/>
  <c r="AM290" i="1"/>
  <c r="BU290" i="1" s="1"/>
  <c r="CK289" i="1"/>
  <c r="CZ278" i="1" s="1"/>
  <c r="AO289" i="1"/>
  <c r="BN286" i="1" l="1"/>
  <c r="BO286" i="1"/>
  <c r="CA290" i="1"/>
  <c r="BW288" i="1"/>
  <c r="BX288" i="1" s="1"/>
  <c r="BZ288" i="1" s="1"/>
  <c r="BR288" i="1"/>
  <c r="CG278" i="1"/>
  <c r="CH289" i="1"/>
  <c r="CH290" i="1" s="1"/>
  <c r="BG286" i="1"/>
  <c r="BH286" i="1"/>
  <c r="BF287" i="1"/>
  <c r="BA287" i="1"/>
  <c r="CQ287" i="1"/>
  <c r="CN287" i="1"/>
  <c r="CK290" i="1"/>
  <c r="AM291" i="1"/>
  <c r="BU291" i="1" s="1"/>
  <c r="AP288" i="1"/>
  <c r="BJ288" i="1" s="1"/>
  <c r="CL287" i="1"/>
  <c r="CJ288" i="1"/>
  <c r="CI288" i="1"/>
  <c r="AJ289" i="1"/>
  <c r="AY288" i="1"/>
  <c r="BB288" i="1" s="1"/>
  <c r="BI288" i="1"/>
  <c r="AO290" i="1"/>
  <c r="BK287" i="1"/>
  <c r="BN287" i="1" l="1"/>
  <c r="BO287" i="1"/>
  <c r="CA291" i="1"/>
  <c r="BW289" i="1"/>
  <c r="BX289" i="1" s="1"/>
  <c r="BR289" i="1"/>
  <c r="BZ289" i="1"/>
  <c r="BY278" i="1"/>
  <c r="CH291" i="1"/>
  <c r="BH287" i="1"/>
  <c r="BG287" i="1"/>
  <c r="BF288" i="1"/>
  <c r="BA288" i="1"/>
  <c r="AM292" i="1"/>
  <c r="BU292" i="1" s="1"/>
  <c r="CK291" i="1"/>
  <c r="CJ289" i="1"/>
  <c r="AJ290" i="1"/>
  <c r="AY289" i="1"/>
  <c r="CI289" i="1"/>
  <c r="BI289" i="1"/>
  <c r="BK288" i="1"/>
  <c r="AO291" i="1"/>
  <c r="CN288" i="1"/>
  <c r="CQ288" i="1"/>
  <c r="AP289" i="1"/>
  <c r="BJ289" i="1" s="1"/>
  <c r="CL288" i="1"/>
  <c r="BN288" i="1" l="1"/>
  <c r="BO288" i="1"/>
  <c r="CA292" i="1"/>
  <c r="BW290" i="1"/>
  <c r="BX290" i="1" s="1"/>
  <c r="BR290" i="1"/>
  <c r="BZ290" i="1"/>
  <c r="CH292" i="1"/>
  <c r="BH288" i="1"/>
  <c r="BG288" i="1"/>
  <c r="BF289" i="1"/>
  <c r="BA289" i="1"/>
  <c r="AP290" i="1"/>
  <c r="BJ290" i="1" s="1"/>
  <c r="CL289" i="1"/>
  <c r="CJ290" i="1"/>
  <c r="CI290" i="1"/>
  <c r="AJ291" i="1"/>
  <c r="AY290" i="1"/>
  <c r="BI290" i="1"/>
  <c r="DA278" i="1"/>
  <c r="CQ289" i="1"/>
  <c r="CN289" i="1"/>
  <c r="CV279" i="1"/>
  <c r="BK289" i="1"/>
  <c r="CK292" i="1"/>
  <c r="AM293" i="1"/>
  <c r="BU293" i="1" s="1"/>
  <c r="AO292" i="1"/>
  <c r="BB289" i="1"/>
  <c r="AZ278" i="1"/>
  <c r="BC278" i="1"/>
  <c r="BN289" i="1" l="1"/>
  <c r="BO289" i="1"/>
  <c r="CA293" i="1"/>
  <c r="BW291" i="1"/>
  <c r="BX291" i="1" s="1"/>
  <c r="BZ291" i="1" s="1"/>
  <c r="BR291" i="1"/>
  <c r="CH293" i="1"/>
  <c r="BG289" i="1"/>
  <c r="BH289" i="1"/>
  <c r="BA290" i="1"/>
  <c r="BF290" i="1"/>
  <c r="BL278" i="1"/>
  <c r="CJ291" i="1"/>
  <c r="CI291" i="1"/>
  <c r="AJ292" i="1"/>
  <c r="AY291" i="1"/>
  <c r="BB291" i="1" s="1"/>
  <c r="BI291" i="1"/>
  <c r="BK290" i="1"/>
  <c r="BB290" i="1"/>
  <c r="CK293" i="1"/>
  <c r="AM294" i="1"/>
  <c r="BU294" i="1" s="1"/>
  <c r="CA294" i="1" s="1"/>
  <c r="AO293" i="1"/>
  <c r="AP291" i="1"/>
  <c r="BF291" i="1" s="1"/>
  <c r="CL290" i="1"/>
  <c r="CQ290" i="1"/>
  <c r="CN290" i="1"/>
  <c r="CW278" i="1"/>
  <c r="CY278" i="1"/>
  <c r="BN290" i="1" l="1"/>
  <c r="BO290" i="1"/>
  <c r="BW292" i="1"/>
  <c r="BX292" i="1" s="1"/>
  <c r="BZ292" i="1" s="1"/>
  <c r="BR292" i="1"/>
  <c r="CH294" i="1"/>
  <c r="BJ291" i="1"/>
  <c r="BK291" i="1" s="1"/>
  <c r="BG291" i="1"/>
  <c r="BH291" i="1"/>
  <c r="BG290" i="1"/>
  <c r="BH290" i="1"/>
  <c r="AP292" i="1"/>
  <c r="BF292" i="1" s="1"/>
  <c r="CL291" i="1"/>
  <c r="CO278" i="1"/>
  <c r="CR278" i="1"/>
  <c r="AO294" i="1"/>
  <c r="AM295" i="1"/>
  <c r="BU295" i="1" s="1"/>
  <c r="CK294" i="1"/>
  <c r="BA291" i="1"/>
  <c r="CQ291" i="1"/>
  <c r="CN291" i="1"/>
  <c r="CJ292" i="1"/>
  <c r="AY292" i="1"/>
  <c r="CI292" i="1"/>
  <c r="AJ293" i="1"/>
  <c r="BI292" i="1"/>
  <c r="BN291" i="1" l="1"/>
  <c r="BO291" i="1"/>
  <c r="CA295" i="1"/>
  <c r="BW293" i="1"/>
  <c r="BX293" i="1" s="1"/>
  <c r="BZ293" i="1" s="1"/>
  <c r="BR293" i="1"/>
  <c r="CH295" i="1"/>
  <c r="BJ292" i="1"/>
  <c r="BK292" i="1" s="1"/>
  <c r="BG292" i="1"/>
  <c r="BH292" i="1"/>
  <c r="AO295" i="1"/>
  <c r="AP293" i="1"/>
  <c r="BJ293" i="1" s="1"/>
  <c r="CL292" i="1"/>
  <c r="BB292" i="1"/>
  <c r="CQ292" i="1"/>
  <c r="CN292" i="1"/>
  <c r="BA292" i="1"/>
  <c r="CK295" i="1"/>
  <c r="AM296" i="1"/>
  <c r="BU296" i="1" s="1"/>
  <c r="CJ293" i="1"/>
  <c r="CI293" i="1"/>
  <c r="AJ294" i="1"/>
  <c r="AY293" i="1"/>
  <c r="BB293" i="1" s="1"/>
  <c r="BI293" i="1"/>
  <c r="BN292" i="1" l="1"/>
  <c r="BO292" i="1"/>
  <c r="CA296" i="1"/>
  <c r="CH296" i="1"/>
  <c r="BW294" i="1"/>
  <c r="BX294" i="1" s="1"/>
  <c r="BZ294" i="1" s="1"/>
  <c r="BR294" i="1"/>
  <c r="BF293" i="1"/>
  <c r="BA293" i="1"/>
  <c r="CQ293" i="1"/>
  <c r="CN293" i="1"/>
  <c r="BK293" i="1"/>
  <c r="AM297" i="1"/>
  <c r="BU297" i="1" s="1"/>
  <c r="CK296" i="1"/>
  <c r="AO296" i="1"/>
  <c r="CJ294" i="1"/>
  <c r="CI294" i="1"/>
  <c r="AY294" i="1"/>
  <c r="AJ295" i="1"/>
  <c r="BI294" i="1"/>
  <c r="AP294" i="1"/>
  <c r="BJ294" i="1" s="1"/>
  <c r="CL293" i="1"/>
  <c r="BN293" i="1" l="1"/>
  <c r="BO293" i="1"/>
  <c r="CH297" i="1"/>
  <c r="CA297" i="1"/>
  <c r="BW295" i="1"/>
  <c r="BX295" i="1" s="1"/>
  <c r="BZ295" i="1" s="1"/>
  <c r="BR295" i="1"/>
  <c r="BF294" i="1"/>
  <c r="BH293" i="1"/>
  <c r="BG293" i="1"/>
  <c r="CJ295" i="1"/>
  <c r="AY295" i="1"/>
  <c r="BB295" i="1" s="1"/>
  <c r="CI295" i="1"/>
  <c r="AJ296" i="1"/>
  <c r="BI295" i="1"/>
  <c r="AP295" i="1"/>
  <c r="BJ295" i="1" s="1"/>
  <c r="CL294" i="1"/>
  <c r="AM298" i="1"/>
  <c r="BU298" i="1" s="1"/>
  <c r="CK297" i="1"/>
  <c r="BB294" i="1"/>
  <c r="CQ294" i="1"/>
  <c r="CN294" i="1"/>
  <c r="BA294" i="1"/>
  <c r="BK294" i="1"/>
  <c r="AO297" i="1"/>
  <c r="BN294" i="1" l="1"/>
  <c r="BO294" i="1"/>
  <c r="CH298" i="1"/>
  <c r="CA298" i="1"/>
  <c r="BW296" i="1"/>
  <c r="BX296" i="1" s="1"/>
  <c r="BZ296" i="1" s="1"/>
  <c r="BR296" i="1"/>
  <c r="BG294" i="1"/>
  <c r="BH294" i="1"/>
  <c r="BF295" i="1"/>
  <c r="BA295" i="1"/>
  <c r="CK298" i="1"/>
  <c r="AM299" i="1"/>
  <c r="BU299" i="1" s="1"/>
  <c r="AO298" i="1"/>
  <c r="AP296" i="1"/>
  <c r="BJ296" i="1" s="1"/>
  <c r="CL295" i="1"/>
  <c r="CQ295" i="1"/>
  <c r="CN295" i="1"/>
  <c r="CJ296" i="1"/>
  <c r="AJ297" i="1"/>
  <c r="CI296" i="1"/>
  <c r="AY296" i="1"/>
  <c r="BI296" i="1"/>
  <c r="BK295" i="1"/>
  <c r="BN295" i="1" l="1"/>
  <c r="BO295" i="1"/>
  <c r="CH299" i="1"/>
  <c r="CA299" i="1"/>
  <c r="BW297" i="1"/>
  <c r="BX297" i="1" s="1"/>
  <c r="BZ297" i="1" s="1"/>
  <c r="BR297" i="1"/>
  <c r="BF296" i="1"/>
  <c r="BH296" i="1" s="1"/>
  <c r="BH295" i="1"/>
  <c r="BG295" i="1"/>
  <c r="BA296" i="1"/>
  <c r="CK299" i="1"/>
  <c r="AM300" i="1"/>
  <c r="BU300" i="1" s="1"/>
  <c r="CQ296" i="1"/>
  <c r="CN296" i="1"/>
  <c r="AP297" i="1"/>
  <c r="BF297" i="1" s="1"/>
  <c r="CL296" i="1"/>
  <c r="BK296" i="1"/>
  <c r="AO299" i="1"/>
  <c r="CJ297" i="1"/>
  <c r="AJ298" i="1"/>
  <c r="CI297" i="1"/>
  <c r="AY297" i="1"/>
  <c r="BB297" i="1" s="1"/>
  <c r="BI297" i="1"/>
  <c r="BB296" i="1"/>
  <c r="BN296" i="1" l="1"/>
  <c r="BO296" i="1"/>
  <c r="CH300" i="1"/>
  <c r="CA300" i="1"/>
  <c r="BW298" i="1"/>
  <c r="BX298" i="1" s="1"/>
  <c r="BZ298" i="1" s="1"/>
  <c r="BR298" i="1"/>
  <c r="BG296" i="1"/>
  <c r="BJ297" i="1"/>
  <c r="BK297" i="1" s="1"/>
  <c r="BH297" i="1"/>
  <c r="BG297" i="1"/>
  <c r="BA297" i="1"/>
  <c r="AP298" i="1"/>
  <c r="BJ298" i="1" s="1"/>
  <c r="CL297" i="1"/>
  <c r="CK300" i="1"/>
  <c r="AM301" i="1"/>
  <c r="BU301" i="1" s="1"/>
  <c r="CA301" i="1" s="1"/>
  <c r="CB290" i="1" s="1"/>
  <c r="AO300" i="1"/>
  <c r="CJ298" i="1"/>
  <c r="CI298" i="1"/>
  <c r="AY298" i="1"/>
  <c r="AJ299" i="1"/>
  <c r="BI298" i="1"/>
  <c r="CN297" i="1"/>
  <c r="CQ297" i="1"/>
  <c r="BN297" i="1" l="1"/>
  <c r="BO297" i="1"/>
  <c r="BF298" i="1"/>
  <c r="BW299" i="1"/>
  <c r="BX299" i="1" s="1"/>
  <c r="BZ299" i="1" s="1"/>
  <c r="BR299" i="1"/>
  <c r="BV290" i="1"/>
  <c r="BH298" i="1"/>
  <c r="BG298" i="1"/>
  <c r="BK298" i="1"/>
  <c r="BA298" i="1"/>
  <c r="AP299" i="1"/>
  <c r="BF299" i="1" s="1"/>
  <c r="CL298" i="1"/>
  <c r="CK301" i="1"/>
  <c r="CZ290" i="1" s="1"/>
  <c r="CQ298" i="1"/>
  <c r="CN298" i="1"/>
  <c r="CJ299" i="1"/>
  <c r="AJ300" i="1"/>
  <c r="AY299" i="1"/>
  <c r="BB299" i="1" s="1"/>
  <c r="CI299" i="1"/>
  <c r="BI299" i="1"/>
  <c r="BB298" i="1"/>
  <c r="AO301" i="1"/>
  <c r="BN298" i="1" l="1"/>
  <c r="BO298" i="1"/>
  <c r="BW300" i="1"/>
  <c r="BX300" i="1" s="1"/>
  <c r="BZ300" i="1" s="1"/>
  <c r="BR300" i="1"/>
  <c r="CG290" i="1"/>
  <c r="CH301" i="1"/>
  <c r="BJ299" i="1"/>
  <c r="BK299" i="1" s="1"/>
  <c r="BH299" i="1"/>
  <c r="BG299" i="1"/>
  <c r="AP300" i="1"/>
  <c r="BJ300" i="1" s="1"/>
  <c r="CL299" i="1"/>
  <c r="CJ300" i="1"/>
  <c r="CI300" i="1"/>
  <c r="AJ301" i="1"/>
  <c r="AY300" i="1"/>
  <c r="BB300" i="1" s="1"/>
  <c r="BI300" i="1"/>
  <c r="CN299" i="1"/>
  <c r="CQ299" i="1"/>
  <c r="BA299" i="1"/>
  <c r="BN299" i="1" l="1"/>
  <c r="BO299" i="1"/>
  <c r="BW301" i="1"/>
  <c r="BX301" i="1" s="1"/>
  <c r="BR301" i="1"/>
  <c r="BZ301" i="1"/>
  <c r="BY290" i="1"/>
  <c r="BF300" i="1"/>
  <c r="BA300" i="1"/>
  <c r="BK300" i="1"/>
  <c r="CJ301" i="1"/>
  <c r="AY301" i="1"/>
  <c r="BD301" i="1" s="1"/>
  <c r="BE301" i="1" s="1"/>
  <c r="CI301" i="1"/>
  <c r="CQ300" i="1"/>
  <c r="CN300" i="1"/>
  <c r="AP301" i="1"/>
  <c r="CL301" i="1" s="1"/>
  <c r="CL300" i="1"/>
  <c r="DA290" i="1" s="1"/>
  <c r="BN300" i="1" l="1"/>
  <c r="BO300" i="1"/>
  <c r="BJ301" i="1"/>
  <c r="BH300" i="1"/>
  <c r="BG300" i="1"/>
  <c r="BF301" i="1"/>
  <c r="BH301" i="1" s="1"/>
  <c r="BA301" i="1"/>
  <c r="CQ301" i="1"/>
  <c r="CN301" i="1"/>
  <c r="CV291" i="1"/>
  <c r="BB301" i="1"/>
  <c r="BC290" i="1"/>
  <c r="AZ290" i="1"/>
  <c r="BG301" i="1" l="1"/>
  <c r="DF301" i="1"/>
  <c r="DG290" i="1" s="1"/>
  <c r="BI301" i="1"/>
  <c r="BK301" i="1" s="1"/>
  <c r="CW290" i="1"/>
  <c r="CY290" i="1"/>
  <c r="BN301" i="1" l="1"/>
  <c r="BO301" i="1"/>
  <c r="BL290" i="1"/>
  <c r="CO290" i="1"/>
  <c r="CR290" i="1"/>
  <c r="BI4" i="1" l="1"/>
  <c r="BK4" i="1" s="1"/>
  <c r="BO4" i="1" s="1"/>
  <c r="AT5" i="1"/>
  <c r="BE5" i="1" s="1"/>
  <c r="AT6" i="1" l="1"/>
  <c r="BH4" i="1"/>
  <c r="DF5" i="1"/>
  <c r="BI5" i="1"/>
  <c r="BK5" i="1" s="1"/>
  <c r="BO5" i="1" s="1"/>
  <c r="BH5" i="1"/>
  <c r="BM4" i="1"/>
  <c r="BP4" i="1"/>
  <c r="AT7" i="1"/>
  <c r="BE7" i="1" s="1"/>
  <c r="DF4" i="1"/>
  <c r="BE6" i="1" l="1"/>
  <c r="BI6" i="1" s="1"/>
  <c r="BK6" i="1" s="1"/>
  <c r="BO6" i="1" s="1"/>
  <c r="BM5" i="1"/>
  <c r="AT8" i="1"/>
  <c r="BE8" i="1" s="1"/>
  <c r="BP5" i="1"/>
  <c r="BQ4" i="1"/>
  <c r="BM6" i="1" l="1"/>
  <c r="DF6" i="1"/>
  <c r="BH6" i="1"/>
  <c r="BP6" i="1"/>
  <c r="BQ5" i="1"/>
  <c r="BI7" i="1"/>
  <c r="BK7" i="1" s="1"/>
  <c r="BO7" i="1" s="1"/>
  <c r="DF7" i="1"/>
  <c r="BH7" i="1"/>
  <c r="AT9" i="1"/>
  <c r="BE9" i="1" s="1"/>
  <c r="AT10" i="1" l="1"/>
  <c r="BE10" i="1" s="1"/>
  <c r="BI8" i="1"/>
  <c r="BK8" i="1" s="1"/>
  <c r="BO8" i="1" s="1"/>
  <c r="BH8" i="1"/>
  <c r="DF8" i="1"/>
  <c r="BP7" i="1"/>
  <c r="BM7" i="1"/>
  <c r="BQ6" i="1"/>
  <c r="BM8" i="1" l="1"/>
  <c r="BQ7" i="1"/>
  <c r="BP8" i="1"/>
  <c r="DF9" i="1"/>
  <c r="BI9" i="1"/>
  <c r="BK9" i="1" s="1"/>
  <c r="BO9" i="1" s="1"/>
  <c r="BH9" i="1"/>
  <c r="AT11" i="1"/>
  <c r="BE11" i="1" s="1"/>
  <c r="BQ8" i="1" l="1"/>
  <c r="BP9" i="1"/>
  <c r="BM9" i="1"/>
  <c r="AT12" i="1"/>
  <c r="BE12" i="1" s="1"/>
  <c r="BH10" i="1"/>
  <c r="DF10" i="1"/>
  <c r="BI10" i="1"/>
  <c r="BK10" i="1" s="1"/>
  <c r="BO10" i="1" s="1"/>
  <c r="BM10" i="1" l="1"/>
  <c r="BQ9" i="1"/>
  <c r="BP10" i="1"/>
  <c r="DF11" i="1"/>
  <c r="BI11" i="1"/>
  <c r="BK11" i="1" s="1"/>
  <c r="BO11" i="1" s="1"/>
  <c r="BH11" i="1"/>
  <c r="AT13" i="1"/>
  <c r="BE13" i="1" s="1"/>
  <c r="DF13" i="1" l="1"/>
  <c r="AT14" i="1"/>
  <c r="BE14" i="1" s="1"/>
  <c r="BQ10" i="1"/>
  <c r="BP11" i="1"/>
  <c r="BM11" i="1"/>
  <c r="BH12" i="1"/>
  <c r="DF12" i="1"/>
  <c r="BI12" i="1"/>
  <c r="BK12" i="1" s="1"/>
  <c r="BO12" i="1" s="1"/>
  <c r="DG2" i="1" l="1"/>
  <c r="BH13" i="1"/>
  <c r="BI13" i="1"/>
  <c r="BK13" i="1" s="1"/>
  <c r="BO13" i="1" s="1"/>
  <c r="AT15" i="1"/>
  <c r="BE15" i="1" s="1"/>
  <c r="BM12" i="1"/>
  <c r="BQ11" i="1"/>
  <c r="BP12" i="1"/>
  <c r="BM13" i="1" l="1"/>
  <c r="BN3" i="1"/>
  <c r="BN4" i="1" s="1"/>
  <c r="BN5" i="1" s="1"/>
  <c r="BN6" i="1" s="1"/>
  <c r="BN7" i="1" s="1"/>
  <c r="BN8" i="1" s="1"/>
  <c r="BN9" i="1" s="1"/>
  <c r="BN10" i="1" s="1"/>
  <c r="BN11" i="1" s="1"/>
  <c r="BN12" i="1" s="1"/>
  <c r="BN13" i="1" s="1"/>
  <c r="BL2" i="1"/>
  <c r="BH14" i="1"/>
  <c r="BI14" i="1"/>
  <c r="BK14" i="1" s="1"/>
  <c r="BO14" i="1" s="1"/>
  <c r="DF14" i="1"/>
  <c r="AT16" i="1"/>
  <c r="BE16" i="1" s="1"/>
  <c r="BP13" i="1"/>
  <c r="BQ12" i="1"/>
  <c r="BM14" i="1" l="1"/>
  <c r="BI15" i="1"/>
  <c r="BK15" i="1" s="1"/>
  <c r="BO15" i="1" s="1"/>
  <c r="DF15" i="1"/>
  <c r="BH15" i="1"/>
  <c r="AT17" i="1"/>
  <c r="BE17" i="1" s="1"/>
  <c r="BP14" i="1"/>
  <c r="BQ13" i="1"/>
  <c r="BP15" i="1" l="1"/>
  <c r="BM15" i="1"/>
  <c r="AT18" i="1"/>
  <c r="BE18" i="1" s="1"/>
  <c r="DF16" i="1"/>
  <c r="BI16" i="1"/>
  <c r="BK16" i="1" s="1"/>
  <c r="BO16" i="1" s="1"/>
  <c r="BH16" i="1"/>
  <c r="BQ14" i="1"/>
  <c r="BM16" i="1" l="1"/>
  <c r="BP16" i="1"/>
  <c r="DF17" i="1"/>
  <c r="BI17" i="1"/>
  <c r="BK17" i="1" s="1"/>
  <c r="BO17" i="1" s="1"/>
  <c r="BH17" i="1"/>
  <c r="AT19" i="1"/>
  <c r="BE19" i="1" s="1"/>
  <c r="BI19" i="1" s="1"/>
  <c r="BQ15" i="1"/>
  <c r="BP17" i="1" l="1"/>
  <c r="AT20" i="1"/>
  <c r="DF18" i="1"/>
  <c r="BI18" i="1"/>
  <c r="BK18" i="1" s="1"/>
  <c r="BO18" i="1" s="1"/>
  <c r="BH18" i="1"/>
  <c r="BM17" i="1"/>
  <c r="BQ16" i="1"/>
  <c r="BE20" i="1" l="1"/>
  <c r="DF19" i="1"/>
  <c r="BK19" i="1"/>
  <c r="BO19" i="1" s="1"/>
  <c r="BH19" i="1"/>
  <c r="BM18" i="1"/>
  <c r="BP18" i="1"/>
  <c r="BQ17" i="1"/>
  <c r="DF20" i="1" l="1"/>
  <c r="DG14" i="1" s="1"/>
  <c r="BI20" i="1"/>
  <c r="BK20" i="1" s="1"/>
  <c r="BO20" i="1" s="1"/>
  <c r="BH20" i="1"/>
  <c r="BM19" i="1"/>
  <c r="BP19" i="1"/>
  <c r="BQ18" i="1"/>
  <c r="BP20" i="1" l="1"/>
  <c r="BP21" i="1" s="1"/>
  <c r="BQ21" i="1" s="1"/>
  <c r="BN14" i="1"/>
  <c r="BN15" i="1" s="1"/>
  <c r="BN16" i="1" s="1"/>
  <c r="BN17" i="1" s="1"/>
  <c r="BN18" i="1" s="1"/>
  <c r="BN19" i="1" s="1"/>
  <c r="BN20" i="1" s="1"/>
  <c r="BN21" i="1" s="1"/>
  <c r="BN22" i="1" s="1"/>
  <c r="BN23" i="1" s="1"/>
  <c r="BN24" i="1" s="1"/>
  <c r="BN25" i="1" s="1"/>
  <c r="BL14" i="1"/>
  <c r="BM20" i="1"/>
  <c r="BM21" i="1" s="1"/>
  <c r="BM22" i="1" s="1"/>
  <c r="BM23" i="1" s="1"/>
  <c r="BM24" i="1" s="1"/>
  <c r="BM25" i="1" s="1"/>
  <c r="BQ19" i="1"/>
  <c r="AT24" i="1"/>
  <c r="BP22" i="1" l="1"/>
  <c r="BP23" i="1" s="1"/>
  <c r="BQ20" i="1"/>
  <c r="AT25" i="1"/>
  <c r="BQ22" i="1" l="1"/>
  <c r="BQ23" i="1" s="1"/>
  <c r="BQ24" i="1" s="1"/>
  <c r="BP24" i="1"/>
  <c r="AT26" i="1"/>
  <c r="BP25" i="1" l="1"/>
  <c r="BQ25" i="1" s="1"/>
  <c r="AT27" i="1"/>
  <c r="BI26" i="1" l="1"/>
  <c r="BK26" i="1" s="1"/>
  <c r="DF26" i="1"/>
  <c r="BH26" i="1"/>
  <c r="AT28" i="1"/>
  <c r="BO26" i="1" l="1"/>
  <c r="BP26" i="1" s="1"/>
  <c r="BQ26" i="1" s="1"/>
  <c r="BI27" i="1"/>
  <c r="BK27" i="1" s="1"/>
  <c r="BN26" i="1" s="1"/>
  <c r="DF27" i="1"/>
  <c r="DG26" i="1" s="1"/>
  <c r="BH27" i="1"/>
  <c r="AT29" i="1"/>
  <c r="BM26" i="1"/>
  <c r="BN27" i="1" l="1"/>
  <c r="BN28" i="1" s="1"/>
  <c r="BN29" i="1" s="1"/>
  <c r="BO27" i="1"/>
  <c r="BP27" i="1" s="1"/>
  <c r="BP28" i="1" s="1"/>
  <c r="BL26" i="1"/>
  <c r="BM27" i="1"/>
  <c r="BM28" i="1" s="1"/>
  <c r="BM29" i="1" s="1"/>
  <c r="BM30" i="1" s="1"/>
  <c r="BM31" i="1" s="1"/>
  <c r="BM32" i="1" s="1"/>
  <c r="BM33" i="1" s="1"/>
  <c r="BM34" i="1" s="1"/>
  <c r="BM35" i="1" s="1"/>
  <c r="BM36" i="1" s="1"/>
  <c r="BM37" i="1" s="1"/>
  <c r="AT30" i="1"/>
  <c r="BQ27" i="1" l="1"/>
  <c r="BQ28" i="1" s="1"/>
  <c r="BP29" i="1"/>
  <c r="AT31" i="1"/>
  <c r="BQ29" i="1" l="1"/>
  <c r="BQ30" i="1" s="1"/>
  <c r="BQ31" i="1" s="1"/>
  <c r="BQ32" i="1" s="1"/>
  <c r="BQ33" i="1" s="1"/>
  <c r="BQ34" i="1" s="1"/>
  <c r="BQ35" i="1" s="1"/>
  <c r="BQ36" i="1" s="1"/>
  <c r="BQ37" i="1" s="1"/>
  <c r="BP30" i="1"/>
  <c r="AT32" i="1"/>
  <c r="BP31" i="1" l="1"/>
  <c r="AT33" i="1"/>
  <c r="BP32" i="1" l="1"/>
  <c r="AT34" i="1"/>
  <c r="BP33" i="1" l="1"/>
  <c r="AT35" i="1"/>
  <c r="BP34" i="1" l="1"/>
  <c r="AT36" i="1"/>
  <c r="BP35" i="1" l="1"/>
  <c r="AT37" i="1"/>
  <c r="BP36" i="1" l="1"/>
  <c r="AT38" i="1"/>
  <c r="BP37" i="1" l="1"/>
  <c r="AT39" i="1"/>
  <c r="BI38" i="1" l="1"/>
  <c r="BK38" i="1" s="1"/>
  <c r="BH38" i="1"/>
  <c r="DF38" i="1"/>
  <c r="AT40" i="1"/>
  <c r="BN38" i="1" l="1"/>
  <c r="BO38" i="1"/>
  <c r="BP38" i="1" s="1"/>
  <c r="BQ38" i="1" s="1"/>
  <c r="BQ39" i="1" s="1"/>
  <c r="BQ40" i="1" s="1"/>
  <c r="BQ41" i="1" s="1"/>
  <c r="BQ42" i="1" s="1"/>
  <c r="BQ43" i="1" s="1"/>
  <c r="BQ44" i="1" s="1"/>
  <c r="BQ45" i="1" s="1"/>
  <c r="BQ46" i="1" s="1"/>
  <c r="BQ47" i="1" s="1"/>
  <c r="BQ48" i="1" s="1"/>
  <c r="BQ49" i="1" s="1"/>
  <c r="BQ50" i="1" s="1"/>
  <c r="BQ51" i="1" s="1"/>
  <c r="BQ52" i="1" s="1"/>
  <c r="BQ53" i="1" s="1"/>
  <c r="BQ54" i="1" s="1"/>
  <c r="BQ55" i="1" s="1"/>
  <c r="BQ56" i="1" s="1"/>
  <c r="BQ57" i="1" s="1"/>
  <c r="BQ58" i="1" s="1"/>
  <c r="BQ59" i="1" s="1"/>
  <c r="BQ60" i="1" s="1"/>
  <c r="BQ61" i="1" s="1"/>
  <c r="BQ62" i="1" s="1"/>
  <c r="BQ63" i="1" s="1"/>
  <c r="BQ64" i="1" s="1"/>
  <c r="BQ65" i="1" s="1"/>
  <c r="BQ66" i="1" s="1"/>
  <c r="BQ67" i="1" s="1"/>
  <c r="BQ68" i="1" s="1"/>
  <c r="BQ69" i="1" s="1"/>
  <c r="BQ70" i="1" s="1"/>
  <c r="BQ71" i="1" s="1"/>
  <c r="BQ72" i="1" s="1"/>
  <c r="BQ73" i="1" s="1"/>
  <c r="BQ74" i="1" s="1"/>
  <c r="BQ75" i="1" s="1"/>
  <c r="BQ76" i="1" s="1"/>
  <c r="BQ77" i="1" s="1"/>
  <c r="BQ78" i="1" s="1"/>
  <c r="BQ79" i="1" s="1"/>
  <c r="BQ80" i="1" s="1"/>
  <c r="BQ81" i="1" s="1"/>
  <c r="BQ82" i="1" s="1"/>
  <c r="BQ83" i="1" s="1"/>
  <c r="BQ84" i="1" s="1"/>
  <c r="BQ85" i="1" s="1"/>
  <c r="BQ86" i="1" s="1"/>
  <c r="BQ87" i="1" s="1"/>
  <c r="BQ88" i="1" s="1"/>
  <c r="BQ89" i="1" s="1"/>
  <c r="BQ90" i="1" s="1"/>
  <c r="BQ91" i="1" s="1"/>
  <c r="BQ92" i="1" s="1"/>
  <c r="BQ93" i="1" s="1"/>
  <c r="BQ94" i="1" s="1"/>
  <c r="BQ95" i="1" s="1"/>
  <c r="BQ96" i="1" s="1"/>
  <c r="BQ97" i="1" s="1"/>
  <c r="BQ98" i="1" s="1"/>
  <c r="BQ99" i="1" s="1"/>
  <c r="BQ100" i="1" s="1"/>
  <c r="BQ101" i="1" s="1"/>
  <c r="BQ102" i="1" s="1"/>
  <c r="BQ103" i="1" s="1"/>
  <c r="BQ104" i="1" s="1"/>
  <c r="BQ105" i="1" s="1"/>
  <c r="BQ106" i="1" s="1"/>
  <c r="BQ107" i="1" s="1"/>
  <c r="BQ108" i="1" s="1"/>
  <c r="BQ109" i="1" s="1"/>
  <c r="BQ110" i="1" s="1"/>
  <c r="BQ111" i="1" s="1"/>
  <c r="BQ112" i="1" s="1"/>
  <c r="BQ113" i="1" s="1"/>
  <c r="BQ114" i="1" s="1"/>
  <c r="BQ115" i="1" s="1"/>
  <c r="BQ116" i="1" s="1"/>
  <c r="BQ117" i="1" s="1"/>
  <c r="BQ118" i="1" s="1"/>
  <c r="BQ119" i="1" s="1"/>
  <c r="BQ120" i="1" s="1"/>
  <c r="BQ121" i="1" s="1"/>
  <c r="BQ122" i="1" s="1"/>
  <c r="BQ123" i="1" s="1"/>
  <c r="BQ124" i="1" s="1"/>
  <c r="BQ125" i="1" s="1"/>
  <c r="BQ126" i="1" s="1"/>
  <c r="BQ127" i="1" s="1"/>
  <c r="BQ128" i="1" s="1"/>
  <c r="BQ129" i="1" s="1"/>
  <c r="BQ130" i="1" s="1"/>
  <c r="BQ131" i="1" s="1"/>
  <c r="BQ132" i="1" s="1"/>
  <c r="BQ133" i="1" s="1"/>
  <c r="BQ134" i="1" s="1"/>
  <c r="BQ135" i="1" s="1"/>
  <c r="BQ136" i="1" s="1"/>
  <c r="BQ137" i="1" s="1"/>
  <c r="BQ138" i="1" s="1"/>
  <c r="BQ139" i="1" s="1"/>
  <c r="BQ140" i="1" s="1"/>
  <c r="BQ141" i="1" s="1"/>
  <c r="BQ142" i="1" s="1"/>
  <c r="BQ143" i="1" s="1"/>
  <c r="BQ144" i="1" s="1"/>
  <c r="BQ145" i="1" s="1"/>
  <c r="BQ146" i="1" s="1"/>
  <c r="BQ147" i="1" s="1"/>
  <c r="BQ148" i="1" s="1"/>
  <c r="BQ149" i="1" s="1"/>
  <c r="BQ150" i="1" s="1"/>
  <c r="BQ151" i="1" s="1"/>
  <c r="BQ152" i="1" s="1"/>
  <c r="BQ153" i="1" s="1"/>
  <c r="BQ154" i="1" s="1"/>
  <c r="BQ155" i="1" s="1"/>
  <c r="BQ156" i="1" s="1"/>
  <c r="BQ157" i="1" s="1"/>
  <c r="BQ158" i="1" s="1"/>
  <c r="BQ159" i="1" s="1"/>
  <c r="BQ160" i="1" s="1"/>
  <c r="BQ161" i="1" s="1"/>
  <c r="BQ162" i="1" s="1"/>
  <c r="BQ163" i="1" s="1"/>
  <c r="BQ164" i="1" s="1"/>
  <c r="BQ165" i="1" s="1"/>
  <c r="BQ166" i="1" s="1"/>
  <c r="BQ167" i="1" s="1"/>
  <c r="BQ168" i="1" s="1"/>
  <c r="BQ169" i="1" s="1"/>
  <c r="BQ170" i="1" s="1"/>
  <c r="BQ171" i="1" s="1"/>
  <c r="BQ172" i="1" s="1"/>
  <c r="BQ173" i="1" s="1"/>
  <c r="BQ174" i="1" s="1"/>
  <c r="BQ175" i="1" s="1"/>
  <c r="BQ176" i="1" s="1"/>
  <c r="BQ177" i="1" s="1"/>
  <c r="BQ178" i="1" s="1"/>
  <c r="BQ179" i="1" s="1"/>
  <c r="BQ180" i="1" s="1"/>
  <c r="BQ181" i="1" s="1"/>
  <c r="BQ182" i="1" s="1"/>
  <c r="BQ183" i="1" s="1"/>
  <c r="BQ184" i="1" s="1"/>
  <c r="BQ185" i="1" s="1"/>
  <c r="BQ186" i="1" s="1"/>
  <c r="BQ187" i="1" s="1"/>
  <c r="BQ188" i="1" s="1"/>
  <c r="BQ189" i="1" s="1"/>
  <c r="BQ190" i="1" s="1"/>
  <c r="BQ191" i="1" s="1"/>
  <c r="BQ192" i="1" s="1"/>
  <c r="BQ193" i="1" s="1"/>
  <c r="BQ194" i="1" s="1"/>
  <c r="BQ195" i="1" s="1"/>
  <c r="BQ196" i="1" s="1"/>
  <c r="BQ197" i="1" s="1"/>
  <c r="BQ198" i="1" s="1"/>
  <c r="BQ199" i="1" s="1"/>
  <c r="BQ200" i="1" s="1"/>
  <c r="BQ201" i="1" s="1"/>
  <c r="BQ202" i="1" s="1"/>
  <c r="BQ203" i="1" s="1"/>
  <c r="BQ204" i="1" s="1"/>
  <c r="BQ205" i="1" s="1"/>
  <c r="BQ206" i="1" s="1"/>
  <c r="BQ207" i="1" s="1"/>
  <c r="BQ208" i="1" s="1"/>
  <c r="BQ209" i="1" s="1"/>
  <c r="BQ210" i="1" s="1"/>
  <c r="BQ211" i="1" s="1"/>
  <c r="BQ212" i="1" s="1"/>
  <c r="BQ213" i="1" s="1"/>
  <c r="BQ214" i="1" s="1"/>
  <c r="BQ215" i="1" s="1"/>
  <c r="BQ216" i="1" s="1"/>
  <c r="BQ217" i="1" s="1"/>
  <c r="BQ218" i="1" s="1"/>
  <c r="BQ219" i="1" s="1"/>
  <c r="BQ220" i="1" s="1"/>
  <c r="BQ221" i="1" s="1"/>
  <c r="BQ222" i="1" s="1"/>
  <c r="BQ223" i="1" s="1"/>
  <c r="BQ224" i="1" s="1"/>
  <c r="BQ225" i="1" s="1"/>
  <c r="BQ226" i="1" s="1"/>
  <c r="BQ227" i="1" s="1"/>
  <c r="BQ228" i="1" s="1"/>
  <c r="BQ229" i="1" s="1"/>
  <c r="BQ230" i="1" s="1"/>
  <c r="BQ231" i="1" s="1"/>
  <c r="BQ232" i="1" s="1"/>
  <c r="BQ233" i="1" s="1"/>
  <c r="BQ234" i="1" s="1"/>
  <c r="BQ235" i="1" s="1"/>
  <c r="BQ236" i="1" s="1"/>
  <c r="BQ237" i="1" s="1"/>
  <c r="BQ238" i="1" s="1"/>
  <c r="BQ239" i="1" s="1"/>
  <c r="BQ240" i="1" s="1"/>
  <c r="BQ241" i="1" s="1"/>
  <c r="BQ242" i="1" s="1"/>
  <c r="BQ243" i="1" s="1"/>
  <c r="BQ244" i="1" s="1"/>
  <c r="BQ245" i="1" s="1"/>
  <c r="BQ246" i="1" s="1"/>
  <c r="BQ247" i="1" s="1"/>
  <c r="BQ248" i="1" s="1"/>
  <c r="BQ249" i="1" s="1"/>
  <c r="BQ250" i="1" s="1"/>
  <c r="BQ251" i="1" s="1"/>
  <c r="BQ252" i="1" s="1"/>
  <c r="BQ253" i="1" s="1"/>
  <c r="BQ254" i="1" s="1"/>
  <c r="BQ255" i="1" s="1"/>
  <c r="BQ256" i="1" s="1"/>
  <c r="BQ257" i="1" s="1"/>
  <c r="BQ258" i="1" s="1"/>
  <c r="BQ259" i="1" s="1"/>
  <c r="BQ260" i="1" s="1"/>
  <c r="BQ261" i="1" s="1"/>
  <c r="BQ262" i="1" s="1"/>
  <c r="BQ263" i="1" s="1"/>
  <c r="BQ264" i="1" s="1"/>
  <c r="BQ265" i="1" s="1"/>
  <c r="BQ266" i="1" s="1"/>
  <c r="BQ267" i="1" s="1"/>
  <c r="BQ268" i="1" s="1"/>
  <c r="BQ269" i="1" s="1"/>
  <c r="BQ270" i="1" s="1"/>
  <c r="BQ271" i="1" s="1"/>
  <c r="BQ272" i="1" s="1"/>
  <c r="BQ273" i="1" s="1"/>
  <c r="BQ274" i="1" s="1"/>
  <c r="BQ275" i="1" s="1"/>
  <c r="BQ276" i="1" s="1"/>
  <c r="BQ277" i="1" s="1"/>
  <c r="BQ278" i="1" s="1"/>
  <c r="BQ279" i="1" s="1"/>
  <c r="BQ280" i="1" s="1"/>
  <c r="BQ281" i="1" s="1"/>
  <c r="BQ282" i="1" s="1"/>
  <c r="BQ283" i="1" s="1"/>
  <c r="BQ284" i="1" s="1"/>
  <c r="BQ285" i="1" s="1"/>
  <c r="BQ286" i="1" s="1"/>
  <c r="BQ287" i="1" s="1"/>
  <c r="BQ288" i="1" s="1"/>
  <c r="BQ289" i="1" s="1"/>
  <c r="BQ290" i="1" s="1"/>
  <c r="BQ291" i="1" s="1"/>
  <c r="BQ292" i="1" s="1"/>
  <c r="BQ293" i="1" s="1"/>
  <c r="BQ294" i="1" s="1"/>
  <c r="BQ295" i="1" s="1"/>
  <c r="BQ296" i="1" s="1"/>
  <c r="BQ297" i="1" s="1"/>
  <c r="BQ298" i="1" s="1"/>
  <c r="BQ299" i="1" s="1"/>
  <c r="BQ300" i="1" s="1"/>
  <c r="BI39" i="1"/>
  <c r="BK39" i="1" s="1"/>
  <c r="BL38" i="1" s="1"/>
  <c r="DF39" i="1"/>
  <c r="DG38" i="1" s="1"/>
  <c r="BH39" i="1"/>
  <c r="AT41" i="1"/>
  <c r="BM38" i="1"/>
  <c r="BN39" i="1" l="1"/>
  <c r="BO39" i="1"/>
  <c r="BP39" i="1" s="1"/>
  <c r="BP40" i="1" s="1"/>
  <c r="BM39" i="1"/>
  <c r="BM40" i="1" s="1"/>
  <c r="BM41" i="1" s="1"/>
  <c r="BM42" i="1" s="1"/>
  <c r="BM43" i="1" s="1"/>
  <c r="BM44" i="1" s="1"/>
  <c r="BM45" i="1" s="1"/>
  <c r="BM46" i="1" s="1"/>
  <c r="BM47" i="1" s="1"/>
  <c r="BM48" i="1" s="1"/>
  <c r="BM49" i="1" s="1"/>
  <c r="AT42" i="1"/>
  <c r="BP41" i="1" l="1"/>
  <c r="AT43" i="1"/>
  <c r="BP42" i="1" l="1"/>
  <c r="AT44" i="1"/>
  <c r="BP43" i="1" l="1"/>
  <c r="AT45" i="1"/>
  <c r="BP44" i="1" l="1"/>
  <c r="AT46" i="1"/>
  <c r="BP45" i="1" l="1"/>
  <c r="AT47" i="1"/>
  <c r="BP46" i="1" l="1"/>
  <c r="AT48" i="1"/>
  <c r="BP47" i="1" l="1"/>
  <c r="AT49" i="1"/>
  <c r="BP48" i="1" l="1"/>
  <c r="AT50" i="1"/>
  <c r="BP49" i="1" l="1"/>
  <c r="AT51" i="1"/>
  <c r="BI50" i="1" l="1"/>
  <c r="BK50" i="1" s="1"/>
  <c r="DF50" i="1"/>
  <c r="BH50" i="1"/>
  <c r="AT52" i="1"/>
  <c r="BN50" i="1" l="1"/>
  <c r="BO50" i="1"/>
  <c r="BP50" i="1" s="1"/>
  <c r="BI51" i="1"/>
  <c r="BK51" i="1" s="1"/>
  <c r="DF51" i="1"/>
  <c r="DG50" i="1" s="1"/>
  <c r="BH51" i="1"/>
  <c r="AT53" i="1"/>
  <c r="BM50" i="1"/>
  <c r="BN51" i="1" l="1"/>
  <c r="BO51" i="1"/>
  <c r="BP51" i="1" s="1"/>
  <c r="BP52" i="1" s="1"/>
  <c r="BL50" i="1"/>
  <c r="BM51" i="1"/>
  <c r="BM52" i="1" s="1"/>
  <c r="BM53" i="1" s="1"/>
  <c r="BM54" i="1" s="1"/>
  <c r="BM55" i="1" s="1"/>
  <c r="BM56" i="1" s="1"/>
  <c r="BM57" i="1" s="1"/>
  <c r="BM58" i="1" s="1"/>
  <c r="BM59" i="1" s="1"/>
  <c r="BM60" i="1" s="1"/>
  <c r="BM61" i="1" s="1"/>
  <c r="AT54" i="1"/>
  <c r="BP53" i="1" l="1"/>
  <c r="AT55" i="1"/>
  <c r="BP54" i="1" l="1"/>
  <c r="AT56" i="1"/>
  <c r="BP55" i="1" l="1"/>
  <c r="AT57" i="1"/>
  <c r="BP56" i="1" l="1"/>
  <c r="AT58" i="1"/>
  <c r="BP57" i="1" l="1"/>
  <c r="AT59" i="1"/>
  <c r="BP58" i="1" l="1"/>
  <c r="AT60" i="1"/>
  <c r="BP59" i="1" l="1"/>
  <c r="AT61" i="1"/>
  <c r="BP60" i="1" l="1"/>
  <c r="AT62" i="1"/>
  <c r="BP61" i="1" l="1"/>
  <c r="AT63" i="1"/>
  <c r="DF62" i="1" l="1"/>
  <c r="BI62" i="1"/>
  <c r="BK62" i="1" s="1"/>
  <c r="BH62" i="1"/>
  <c r="AT64" i="1"/>
  <c r="BN62" i="1" l="1"/>
  <c r="BO62" i="1"/>
  <c r="BP62" i="1" s="1"/>
  <c r="AT65" i="1"/>
  <c r="DF63" i="1"/>
  <c r="DG62" i="1" s="1"/>
  <c r="BI63" i="1"/>
  <c r="BK63" i="1" s="1"/>
  <c r="BO63" i="1" s="1"/>
  <c r="BH63" i="1"/>
  <c r="BM62" i="1"/>
  <c r="BL62" i="1" l="1"/>
  <c r="BN63" i="1"/>
  <c r="BP63" i="1"/>
  <c r="BP64" i="1" s="1"/>
  <c r="BM63" i="1"/>
  <c r="BM64" i="1" s="1"/>
  <c r="BM65" i="1" s="1"/>
  <c r="BM66" i="1" s="1"/>
  <c r="BM67" i="1" s="1"/>
  <c r="BM68" i="1" s="1"/>
  <c r="BM69" i="1" s="1"/>
  <c r="BM70" i="1" s="1"/>
  <c r="BM71" i="1" s="1"/>
  <c r="BM72" i="1" s="1"/>
  <c r="BM73" i="1" s="1"/>
  <c r="AT66" i="1"/>
  <c r="BP65" i="1" l="1"/>
  <c r="AT67" i="1"/>
  <c r="BP66" i="1" l="1"/>
  <c r="AT68" i="1"/>
  <c r="BP67" i="1" l="1"/>
  <c r="AT69" i="1"/>
  <c r="BP68" i="1" l="1"/>
  <c r="AT70" i="1"/>
  <c r="BP69" i="1" l="1"/>
  <c r="AT71" i="1"/>
  <c r="BP70" i="1" l="1"/>
  <c r="AT72" i="1"/>
  <c r="BP71" i="1" l="1"/>
  <c r="AT73" i="1"/>
  <c r="BP72" i="1" l="1"/>
  <c r="AT74" i="1"/>
  <c r="BP73" i="1" l="1"/>
  <c r="AT75" i="1"/>
  <c r="BI74" i="1" l="1"/>
  <c r="BK74" i="1" s="1"/>
  <c r="DF74" i="1"/>
  <c r="BH74" i="1"/>
  <c r="AT76" i="1"/>
  <c r="BN74" i="1" l="1"/>
  <c r="BO74" i="1"/>
  <c r="BP74" i="1" s="1"/>
  <c r="AT77" i="1"/>
  <c r="DF75" i="1"/>
  <c r="DG74" i="1" s="1"/>
  <c r="BI75" i="1"/>
  <c r="BK75" i="1" s="1"/>
  <c r="BH75" i="1"/>
  <c r="BM74" i="1"/>
  <c r="BN75" i="1" l="1"/>
  <c r="BO75" i="1"/>
  <c r="BP75" i="1" s="1"/>
  <c r="BP76" i="1" s="1"/>
  <c r="BL74" i="1"/>
  <c r="BM75" i="1"/>
  <c r="BM76" i="1" s="1"/>
  <c r="BM77" i="1" s="1"/>
  <c r="BM78" i="1" s="1"/>
  <c r="BM79" i="1" s="1"/>
  <c r="BM80" i="1" s="1"/>
  <c r="BM81" i="1" s="1"/>
  <c r="BM82" i="1" s="1"/>
  <c r="BM83" i="1" s="1"/>
  <c r="BM84" i="1" s="1"/>
  <c r="BM85" i="1" s="1"/>
  <c r="AT78" i="1"/>
  <c r="AT79" i="1" l="1"/>
  <c r="BP77" i="1"/>
  <c r="BP78" i="1" l="1"/>
  <c r="AT80" i="1"/>
  <c r="AT81" i="1" l="1"/>
  <c r="BP79" i="1"/>
  <c r="BP80" i="1" l="1"/>
  <c r="AT82" i="1"/>
  <c r="AT83" i="1" l="1"/>
  <c r="BP81" i="1"/>
  <c r="BP82" i="1" l="1"/>
  <c r="AT84" i="1"/>
  <c r="BP83" i="1" l="1"/>
  <c r="AT85" i="1"/>
  <c r="BP84" i="1" l="1"/>
  <c r="AT86" i="1"/>
  <c r="BP85" i="1" l="1"/>
  <c r="AT87" i="1"/>
  <c r="AT88" i="1" l="1"/>
  <c r="DF86" i="1"/>
  <c r="BI86" i="1"/>
  <c r="BK86" i="1" s="1"/>
  <c r="BH86" i="1"/>
  <c r="BN86" i="1" l="1"/>
  <c r="BO86" i="1"/>
  <c r="BP86" i="1" s="1"/>
  <c r="BM86" i="1"/>
  <c r="BI87" i="1"/>
  <c r="BK87" i="1" s="1"/>
  <c r="DF87" i="1"/>
  <c r="DG86" i="1" s="1"/>
  <c r="BH87" i="1"/>
  <c r="AT89" i="1"/>
  <c r="BN87" i="1" l="1"/>
  <c r="BO87" i="1"/>
  <c r="BP87" i="1" s="1"/>
  <c r="BP88" i="1" s="1"/>
  <c r="BL86" i="1"/>
  <c r="AT90" i="1"/>
  <c r="BM87" i="1"/>
  <c r="BM88" i="1" s="1"/>
  <c r="BM89" i="1" s="1"/>
  <c r="BM90" i="1" s="1"/>
  <c r="BM91" i="1" s="1"/>
  <c r="BM92" i="1" s="1"/>
  <c r="BM93" i="1" s="1"/>
  <c r="BM94" i="1" s="1"/>
  <c r="BM95" i="1" s="1"/>
  <c r="BM96" i="1" s="1"/>
  <c r="BM97" i="1" s="1"/>
  <c r="BP89" i="1" l="1"/>
  <c r="AT91" i="1"/>
  <c r="BP90" i="1" l="1"/>
  <c r="AT92" i="1"/>
  <c r="BP91" i="1" l="1"/>
  <c r="AT93" i="1"/>
  <c r="BP92" i="1" l="1"/>
  <c r="AT94" i="1"/>
  <c r="BP93" i="1" l="1"/>
  <c r="AT95" i="1"/>
  <c r="BP94" i="1" l="1"/>
  <c r="AT96" i="1"/>
  <c r="BP95" i="1" l="1"/>
  <c r="AT97" i="1"/>
  <c r="BP96" i="1" l="1"/>
  <c r="AT98" i="1"/>
  <c r="BP97" i="1" l="1"/>
  <c r="AT99" i="1"/>
  <c r="BI98" i="1" l="1"/>
  <c r="BK98" i="1" s="1"/>
  <c r="DF98" i="1"/>
  <c r="BH98" i="1"/>
  <c r="AT100" i="1"/>
  <c r="BN98" i="1" l="1"/>
  <c r="BO98" i="1"/>
  <c r="BP98" i="1" s="1"/>
  <c r="DF99" i="1"/>
  <c r="DG98" i="1" s="1"/>
  <c r="BI99" i="1"/>
  <c r="BK99" i="1" s="1"/>
  <c r="BH99" i="1"/>
  <c r="AT101" i="1"/>
  <c r="BM98" i="1"/>
  <c r="BN99" i="1" l="1"/>
  <c r="BO99" i="1"/>
  <c r="BP99" i="1" s="1"/>
  <c r="BP100" i="1" s="1"/>
  <c r="BL98" i="1"/>
  <c r="AT102" i="1"/>
  <c r="BM99" i="1"/>
  <c r="BM100" i="1" s="1"/>
  <c r="BM101" i="1" s="1"/>
  <c r="BM102" i="1" s="1"/>
  <c r="BM103" i="1" s="1"/>
  <c r="BM104" i="1" s="1"/>
  <c r="BM105" i="1" s="1"/>
  <c r="BM106" i="1" s="1"/>
  <c r="BM107" i="1" s="1"/>
  <c r="BM108" i="1" s="1"/>
  <c r="BM109" i="1" s="1"/>
  <c r="AT103" i="1" l="1"/>
  <c r="BP101" i="1"/>
  <c r="BP102" i="1" l="1"/>
  <c r="AT104" i="1"/>
  <c r="AT105" i="1" l="1"/>
  <c r="BP103" i="1"/>
  <c r="BP104" i="1" l="1"/>
  <c r="AT106" i="1"/>
  <c r="BP105" i="1" l="1"/>
  <c r="AT107" i="1"/>
  <c r="BP106" i="1" l="1"/>
  <c r="AT108" i="1"/>
  <c r="BP107" i="1" l="1"/>
  <c r="AT109" i="1"/>
  <c r="BP108" i="1" l="1"/>
  <c r="AT110" i="1"/>
  <c r="BP109" i="1" l="1"/>
  <c r="AT111" i="1"/>
  <c r="AT112" i="1" l="1"/>
  <c r="BI110" i="1"/>
  <c r="BK110" i="1" s="1"/>
  <c r="DF110" i="1"/>
  <c r="BH110" i="1"/>
  <c r="BN110" i="1" l="1"/>
  <c r="BO110" i="1"/>
  <c r="BP110" i="1" s="1"/>
  <c r="BM110" i="1"/>
  <c r="DF111" i="1"/>
  <c r="DG110" i="1" s="1"/>
  <c r="BI111" i="1"/>
  <c r="BK111" i="1" s="1"/>
  <c r="BH111" i="1"/>
  <c r="AT113" i="1"/>
  <c r="BN111" i="1" l="1"/>
  <c r="BO111" i="1"/>
  <c r="BP111" i="1" s="1"/>
  <c r="BP112" i="1" s="1"/>
  <c r="BL110" i="1"/>
  <c r="AT114" i="1"/>
  <c r="BM111" i="1"/>
  <c r="BM112" i="1" s="1"/>
  <c r="BM113" i="1" s="1"/>
  <c r="BM114" i="1" s="1"/>
  <c r="BM115" i="1" s="1"/>
  <c r="BM116" i="1" s="1"/>
  <c r="BM117" i="1" s="1"/>
  <c r="BM118" i="1" s="1"/>
  <c r="BM119" i="1" s="1"/>
  <c r="BM120" i="1" s="1"/>
  <c r="BM121" i="1" s="1"/>
  <c r="BP113" i="1" l="1"/>
  <c r="AT115" i="1"/>
  <c r="BP114" i="1" l="1"/>
  <c r="AT116" i="1"/>
  <c r="BP115" i="1" l="1"/>
  <c r="AT117" i="1"/>
  <c r="BP116" i="1" l="1"/>
  <c r="AT118" i="1"/>
  <c r="BP117" i="1" l="1"/>
  <c r="AT119" i="1"/>
  <c r="BP118" i="1" l="1"/>
  <c r="AT120" i="1"/>
  <c r="BP119" i="1" l="1"/>
  <c r="AT121" i="1"/>
  <c r="BP120" i="1" l="1"/>
  <c r="AT122" i="1"/>
  <c r="BP121" i="1" l="1"/>
  <c r="AT123" i="1"/>
  <c r="BI122" i="1" l="1"/>
  <c r="BK122" i="1" s="1"/>
  <c r="DF122" i="1"/>
  <c r="BH122" i="1"/>
  <c r="AT124" i="1"/>
  <c r="BN122" i="1" l="1"/>
  <c r="BO122" i="1"/>
  <c r="BP122" i="1" s="1"/>
  <c r="AT125" i="1"/>
  <c r="DF123" i="1"/>
  <c r="DG122" i="1" s="1"/>
  <c r="BI123" i="1"/>
  <c r="BK123" i="1" s="1"/>
  <c r="BL122" i="1" s="1"/>
  <c r="BH123" i="1"/>
  <c r="BM122" i="1"/>
  <c r="BN123" i="1" l="1"/>
  <c r="BO123" i="1"/>
  <c r="BP123" i="1" s="1"/>
  <c r="BP124" i="1" s="1"/>
  <c r="BM123" i="1"/>
  <c r="BM124" i="1" s="1"/>
  <c r="BM125" i="1" s="1"/>
  <c r="BM126" i="1" s="1"/>
  <c r="BM127" i="1" s="1"/>
  <c r="BM128" i="1" s="1"/>
  <c r="BM129" i="1" s="1"/>
  <c r="BM130" i="1" s="1"/>
  <c r="BM131" i="1" s="1"/>
  <c r="BM132" i="1" s="1"/>
  <c r="BM133" i="1" s="1"/>
  <c r="AT126" i="1"/>
  <c r="AT127" i="1" l="1"/>
  <c r="BP125" i="1"/>
  <c r="BP126" i="1" l="1"/>
  <c r="AT128" i="1"/>
  <c r="BP127" i="1" l="1"/>
  <c r="AT129" i="1"/>
  <c r="BP128" i="1" l="1"/>
  <c r="AT130" i="1"/>
  <c r="BP129" i="1" l="1"/>
  <c r="AT131" i="1"/>
  <c r="BP130" i="1" l="1"/>
  <c r="AT132" i="1"/>
  <c r="BP131" i="1" l="1"/>
  <c r="AT133" i="1"/>
  <c r="BP132" i="1" l="1"/>
  <c r="AT134" i="1"/>
  <c r="BP133" i="1" l="1"/>
  <c r="AT135" i="1"/>
  <c r="AT136" i="1" l="1"/>
  <c r="DF134" i="1"/>
  <c r="BI134" i="1"/>
  <c r="BK134" i="1" s="1"/>
  <c r="BH134" i="1"/>
  <c r="BN134" i="1" l="1"/>
  <c r="BO134" i="1"/>
  <c r="BP134" i="1" s="1"/>
  <c r="BM134" i="1"/>
  <c r="BI135" i="1"/>
  <c r="BK135" i="1" s="1"/>
  <c r="DF135" i="1"/>
  <c r="DG134" i="1" s="1"/>
  <c r="BH135" i="1"/>
  <c r="AT137" i="1"/>
  <c r="BN135" i="1" l="1"/>
  <c r="BO135" i="1"/>
  <c r="BP135" i="1" s="1"/>
  <c r="BP136" i="1" s="1"/>
  <c r="BL134" i="1"/>
  <c r="BM135" i="1"/>
  <c r="BM136" i="1" s="1"/>
  <c r="BM137" i="1" s="1"/>
  <c r="BM138" i="1" s="1"/>
  <c r="BM139" i="1" s="1"/>
  <c r="BM140" i="1" s="1"/>
  <c r="BM141" i="1" s="1"/>
  <c r="BM142" i="1" s="1"/>
  <c r="BM143" i="1" s="1"/>
  <c r="BM144" i="1" s="1"/>
  <c r="BM145" i="1" s="1"/>
  <c r="AT138" i="1"/>
  <c r="BP137" i="1" l="1"/>
  <c r="AT139" i="1"/>
  <c r="BP138" i="1" l="1"/>
  <c r="AT140" i="1"/>
  <c r="BP139" i="1" l="1"/>
  <c r="AT141" i="1"/>
  <c r="BP140" i="1" l="1"/>
  <c r="AT142" i="1"/>
  <c r="BP141" i="1" l="1"/>
  <c r="AT143" i="1"/>
  <c r="BP142" i="1" l="1"/>
  <c r="AT144" i="1"/>
  <c r="BP143" i="1" l="1"/>
  <c r="AT145" i="1"/>
  <c r="BP144" i="1" l="1"/>
  <c r="AT146" i="1"/>
  <c r="BP145" i="1" l="1"/>
  <c r="AT147" i="1"/>
  <c r="DF146" i="1" l="1"/>
  <c r="BI146" i="1"/>
  <c r="BK146" i="1" s="1"/>
  <c r="BH146" i="1"/>
  <c r="AT148" i="1"/>
  <c r="BN146" i="1" l="1"/>
  <c r="BO146" i="1"/>
  <c r="BP146" i="1" s="1"/>
  <c r="BI147" i="1"/>
  <c r="BK147" i="1" s="1"/>
  <c r="DF147" i="1"/>
  <c r="DG146" i="1" s="1"/>
  <c r="BH147" i="1"/>
  <c r="AT149" i="1"/>
  <c r="BM146" i="1"/>
  <c r="BN147" i="1" l="1"/>
  <c r="BO147" i="1"/>
  <c r="BP147" i="1" s="1"/>
  <c r="BP148" i="1" s="1"/>
  <c r="BL146" i="1"/>
  <c r="BM147" i="1"/>
  <c r="BM148" i="1" s="1"/>
  <c r="BM149" i="1" s="1"/>
  <c r="BM150" i="1" s="1"/>
  <c r="BM151" i="1" s="1"/>
  <c r="BM152" i="1" s="1"/>
  <c r="BM153" i="1" s="1"/>
  <c r="BM154" i="1" s="1"/>
  <c r="BM155" i="1" s="1"/>
  <c r="BM156" i="1" s="1"/>
  <c r="BM157" i="1" s="1"/>
  <c r="AT150" i="1"/>
  <c r="BP149" i="1" l="1"/>
  <c r="AT151" i="1"/>
  <c r="BP150" i="1" l="1"/>
  <c r="AT152" i="1"/>
  <c r="BP151" i="1" l="1"/>
  <c r="AT153" i="1"/>
  <c r="BP152" i="1" l="1"/>
  <c r="AT154" i="1"/>
  <c r="BP153" i="1" l="1"/>
  <c r="AT155" i="1"/>
  <c r="BP154" i="1" l="1"/>
  <c r="AT156" i="1"/>
  <c r="BP155" i="1" l="1"/>
  <c r="AT157" i="1"/>
  <c r="BP156" i="1" l="1"/>
  <c r="AT158" i="1"/>
  <c r="BP157" i="1" l="1"/>
  <c r="AT159" i="1"/>
  <c r="DF158" i="1" l="1"/>
  <c r="BI158" i="1"/>
  <c r="BK158" i="1" s="1"/>
  <c r="BH158" i="1"/>
  <c r="AT160" i="1"/>
  <c r="BN158" i="1" l="1"/>
  <c r="BO158" i="1"/>
  <c r="BP158" i="1" s="1"/>
  <c r="BI159" i="1"/>
  <c r="BK159" i="1" s="1"/>
  <c r="DF159" i="1"/>
  <c r="DG158" i="1" s="1"/>
  <c r="BH159" i="1"/>
  <c r="AT161" i="1"/>
  <c r="BM158" i="1"/>
  <c r="BN159" i="1" l="1"/>
  <c r="BO159" i="1"/>
  <c r="BP159" i="1" s="1"/>
  <c r="BP160" i="1" s="1"/>
  <c r="BL158" i="1"/>
  <c r="BM159" i="1"/>
  <c r="BM160" i="1" s="1"/>
  <c r="BM161" i="1" s="1"/>
  <c r="BM162" i="1" s="1"/>
  <c r="BM163" i="1" s="1"/>
  <c r="BM164" i="1" s="1"/>
  <c r="BM165" i="1" s="1"/>
  <c r="BM166" i="1" s="1"/>
  <c r="BM167" i="1" s="1"/>
  <c r="BM168" i="1" s="1"/>
  <c r="BM169" i="1" s="1"/>
  <c r="AT162" i="1"/>
  <c r="BP161" i="1" l="1"/>
  <c r="AT163" i="1"/>
  <c r="BP162" i="1" l="1"/>
  <c r="AT164" i="1"/>
  <c r="BP163" i="1" l="1"/>
  <c r="AT165" i="1"/>
  <c r="BP164" i="1" l="1"/>
  <c r="AT166" i="1"/>
  <c r="BP165" i="1" l="1"/>
  <c r="AT167" i="1"/>
  <c r="BP166" i="1" l="1"/>
  <c r="AT168" i="1"/>
  <c r="BP167" i="1" l="1"/>
  <c r="AT169" i="1"/>
  <c r="BP168" i="1" l="1"/>
  <c r="AT170" i="1"/>
  <c r="BP169" i="1" l="1"/>
  <c r="AT171" i="1"/>
  <c r="BI170" i="1" l="1"/>
  <c r="BK170" i="1" s="1"/>
  <c r="DF170" i="1"/>
  <c r="BH170" i="1"/>
  <c r="AT172" i="1"/>
  <c r="BN170" i="1" l="1"/>
  <c r="BO170" i="1"/>
  <c r="BP170" i="1" s="1"/>
  <c r="BI171" i="1"/>
  <c r="BK171" i="1" s="1"/>
  <c r="BL170" i="1" s="1"/>
  <c r="DF171" i="1"/>
  <c r="DG170" i="1" s="1"/>
  <c r="BH171" i="1"/>
  <c r="AT173" i="1"/>
  <c r="BM170" i="1"/>
  <c r="BN171" i="1" l="1"/>
  <c r="BO171" i="1"/>
  <c r="BP171" i="1" s="1"/>
  <c r="BP172" i="1" s="1"/>
  <c r="BM171" i="1"/>
  <c r="BM172" i="1" s="1"/>
  <c r="BM173" i="1" s="1"/>
  <c r="BM174" i="1" s="1"/>
  <c r="BM175" i="1" s="1"/>
  <c r="BM176" i="1" s="1"/>
  <c r="BM177" i="1" s="1"/>
  <c r="BM178" i="1" s="1"/>
  <c r="BM179" i="1" s="1"/>
  <c r="BM180" i="1" s="1"/>
  <c r="BM181" i="1" s="1"/>
  <c r="AT174" i="1"/>
  <c r="BP173" i="1" l="1"/>
  <c r="AT175" i="1"/>
  <c r="BP174" i="1" l="1"/>
  <c r="AT176" i="1"/>
  <c r="BP175" i="1" l="1"/>
  <c r="AT177" i="1"/>
  <c r="BP176" i="1" l="1"/>
  <c r="AT178" i="1"/>
  <c r="BP177" i="1" l="1"/>
  <c r="AT179" i="1"/>
  <c r="BP178" i="1" l="1"/>
  <c r="AT180" i="1"/>
  <c r="BP179" i="1" l="1"/>
  <c r="AT181" i="1"/>
  <c r="BP180" i="1" l="1"/>
  <c r="AT182" i="1"/>
  <c r="BP181" i="1" l="1"/>
  <c r="AT183" i="1"/>
  <c r="BI182" i="1" l="1"/>
  <c r="BK182" i="1" s="1"/>
  <c r="DF182" i="1"/>
  <c r="BH182" i="1"/>
  <c r="AT184" i="1"/>
  <c r="BN182" i="1" l="1"/>
  <c r="BO182" i="1"/>
  <c r="BP182" i="1" s="1"/>
  <c r="BI183" i="1"/>
  <c r="BK183" i="1" s="1"/>
  <c r="DF183" i="1"/>
  <c r="DG182" i="1" s="1"/>
  <c r="BH183" i="1"/>
  <c r="AT185" i="1"/>
  <c r="BM182" i="1"/>
  <c r="BN183" i="1" l="1"/>
  <c r="BO183" i="1"/>
  <c r="BP183" i="1" s="1"/>
  <c r="BP184" i="1" s="1"/>
  <c r="BL182" i="1"/>
  <c r="BM183" i="1"/>
  <c r="BM184" i="1" s="1"/>
  <c r="BM185" i="1" s="1"/>
  <c r="BM186" i="1" s="1"/>
  <c r="BM187" i="1" s="1"/>
  <c r="BM188" i="1" s="1"/>
  <c r="BM189" i="1" s="1"/>
  <c r="BM190" i="1" s="1"/>
  <c r="BM191" i="1" s="1"/>
  <c r="BM192" i="1" s="1"/>
  <c r="BM193" i="1" s="1"/>
  <c r="AT186" i="1"/>
  <c r="BP185" i="1" l="1"/>
  <c r="AT187" i="1"/>
  <c r="BP186" i="1" l="1"/>
  <c r="AT188" i="1"/>
  <c r="BP187" i="1" l="1"/>
  <c r="AT189" i="1"/>
  <c r="BP188" i="1" l="1"/>
  <c r="AT190" i="1"/>
  <c r="BP189" i="1" l="1"/>
  <c r="AT191" i="1"/>
  <c r="BP190" i="1" l="1"/>
  <c r="AT192" i="1"/>
  <c r="BP191" i="1" l="1"/>
  <c r="AT193" i="1"/>
  <c r="BP192" i="1" l="1"/>
  <c r="AT194" i="1"/>
  <c r="BP193" i="1" l="1"/>
  <c r="AT195" i="1"/>
  <c r="BI194" i="1" l="1"/>
  <c r="BK194" i="1" s="1"/>
  <c r="DF194" i="1"/>
  <c r="BH194" i="1"/>
  <c r="AT196" i="1"/>
  <c r="BN194" i="1" l="1"/>
  <c r="BO194" i="1"/>
  <c r="BP194" i="1" s="1"/>
  <c r="BI195" i="1"/>
  <c r="BK195" i="1" s="1"/>
  <c r="BL194" i="1" s="1"/>
  <c r="DF195" i="1"/>
  <c r="DG194" i="1" s="1"/>
  <c r="BH195" i="1"/>
  <c r="AT197" i="1"/>
  <c r="BM194" i="1"/>
  <c r="BN195" i="1" l="1"/>
  <c r="BO195" i="1"/>
  <c r="BP195" i="1" s="1"/>
  <c r="BP196" i="1" s="1"/>
  <c r="BM195" i="1"/>
  <c r="BM196" i="1" s="1"/>
  <c r="BM197" i="1" s="1"/>
  <c r="BM198" i="1" s="1"/>
  <c r="BM199" i="1" s="1"/>
  <c r="BM200" i="1" s="1"/>
  <c r="BM201" i="1" s="1"/>
  <c r="BM202" i="1" s="1"/>
  <c r="BM203" i="1" s="1"/>
  <c r="BM204" i="1" s="1"/>
  <c r="BM205" i="1" s="1"/>
  <c r="AT198" i="1"/>
  <c r="BP197" i="1" l="1"/>
  <c r="AT199" i="1"/>
  <c r="BP198" i="1" l="1"/>
  <c r="AT200" i="1"/>
  <c r="BP199" i="1" l="1"/>
  <c r="AT201" i="1"/>
  <c r="BP200" i="1" l="1"/>
  <c r="AT202" i="1"/>
  <c r="BP201" i="1" l="1"/>
  <c r="AT203" i="1"/>
  <c r="BP202" i="1" l="1"/>
  <c r="AT204" i="1"/>
  <c r="BP203" i="1" l="1"/>
  <c r="AT205" i="1"/>
  <c r="BP204" i="1" l="1"/>
  <c r="AT206" i="1"/>
  <c r="BP205" i="1" l="1"/>
  <c r="AT207" i="1"/>
  <c r="DF206" i="1" l="1"/>
  <c r="BI206" i="1"/>
  <c r="BK206" i="1" s="1"/>
  <c r="BH206" i="1"/>
  <c r="AT208" i="1"/>
  <c r="BN206" i="1" l="1"/>
  <c r="BO206" i="1"/>
  <c r="BP206" i="1" s="1"/>
  <c r="BI207" i="1"/>
  <c r="BK207" i="1" s="1"/>
  <c r="DF207" i="1"/>
  <c r="DG206" i="1" s="1"/>
  <c r="BH207" i="1"/>
  <c r="AT209" i="1"/>
  <c r="BM206" i="1"/>
  <c r="BN207" i="1" l="1"/>
  <c r="BO207" i="1"/>
  <c r="BP207" i="1" s="1"/>
  <c r="BP208" i="1" s="1"/>
  <c r="BL206" i="1"/>
  <c r="BM207" i="1"/>
  <c r="BM208" i="1" s="1"/>
  <c r="BM209" i="1" s="1"/>
  <c r="BM210" i="1" s="1"/>
  <c r="BM211" i="1" s="1"/>
  <c r="BM212" i="1" s="1"/>
  <c r="BM213" i="1" s="1"/>
  <c r="BM214" i="1" s="1"/>
  <c r="BM215" i="1" s="1"/>
  <c r="BM216" i="1" s="1"/>
  <c r="BM217" i="1" s="1"/>
  <c r="AT210" i="1"/>
  <c r="BP209" i="1" l="1"/>
  <c r="AT211" i="1"/>
  <c r="BP210" i="1" l="1"/>
  <c r="AT212" i="1"/>
  <c r="BP211" i="1" l="1"/>
  <c r="AT213" i="1"/>
  <c r="BP212" i="1" l="1"/>
  <c r="AT214" i="1"/>
  <c r="BP213" i="1" l="1"/>
  <c r="AT215" i="1"/>
  <c r="BP214" i="1" l="1"/>
  <c r="AT216" i="1"/>
  <c r="BP215" i="1" l="1"/>
  <c r="AT217" i="1"/>
  <c r="BP216" i="1" l="1"/>
  <c r="AT218" i="1"/>
  <c r="BP217" i="1" l="1"/>
  <c r="AT219" i="1"/>
  <c r="BI218" i="1" l="1"/>
  <c r="BK218" i="1" s="1"/>
  <c r="DF218" i="1"/>
  <c r="BH218" i="1"/>
  <c r="AT220" i="1"/>
  <c r="BN218" i="1" l="1"/>
  <c r="BO218" i="1"/>
  <c r="BP218" i="1" s="1"/>
  <c r="AT221" i="1"/>
  <c r="DF219" i="1"/>
  <c r="DG218" i="1" s="1"/>
  <c r="BI219" i="1"/>
  <c r="BK219" i="1" s="1"/>
  <c r="BL218" i="1" s="1"/>
  <c r="BH219" i="1"/>
  <c r="BM218" i="1"/>
  <c r="BN219" i="1" l="1"/>
  <c r="BO219" i="1"/>
  <c r="BP219" i="1" s="1"/>
  <c r="BP220" i="1" s="1"/>
  <c r="BM219" i="1"/>
  <c r="BM220" i="1" s="1"/>
  <c r="BM221" i="1" s="1"/>
  <c r="BM222" i="1" s="1"/>
  <c r="BM223" i="1" s="1"/>
  <c r="BM224" i="1" s="1"/>
  <c r="BM225" i="1" s="1"/>
  <c r="BM226" i="1" s="1"/>
  <c r="BM227" i="1" s="1"/>
  <c r="BM228" i="1" s="1"/>
  <c r="BM229" i="1" s="1"/>
  <c r="BM230" i="1" s="1"/>
  <c r="BM231" i="1" s="1"/>
  <c r="BM232" i="1" s="1"/>
  <c r="BM233" i="1" s="1"/>
  <c r="BM234" i="1" s="1"/>
  <c r="BM235" i="1" s="1"/>
  <c r="BM236" i="1" s="1"/>
  <c r="BM237" i="1" s="1"/>
  <c r="BM238" i="1" s="1"/>
  <c r="BM239" i="1" s="1"/>
  <c r="BM240" i="1" s="1"/>
  <c r="BM241" i="1" s="1"/>
  <c r="BM242" i="1" s="1"/>
  <c r="BM243" i="1" s="1"/>
  <c r="BM244" i="1" s="1"/>
  <c r="BM245" i="1" s="1"/>
  <c r="BM246" i="1" s="1"/>
  <c r="BM247" i="1" s="1"/>
  <c r="BM248" i="1" s="1"/>
  <c r="BM249" i="1" s="1"/>
  <c r="BM250" i="1" s="1"/>
  <c r="BM251" i="1" s="1"/>
  <c r="BM252" i="1" s="1"/>
  <c r="BM253" i="1" s="1"/>
  <c r="BM254" i="1" s="1"/>
  <c r="BM255" i="1" s="1"/>
  <c r="BM256" i="1" s="1"/>
  <c r="BM257" i="1" s="1"/>
  <c r="BM258" i="1" s="1"/>
  <c r="BM259" i="1" s="1"/>
  <c r="BM260" i="1" s="1"/>
  <c r="BM261" i="1" s="1"/>
  <c r="BM262" i="1" s="1"/>
  <c r="BM263" i="1" s="1"/>
  <c r="BM264" i="1" s="1"/>
  <c r="BM265" i="1" s="1"/>
  <c r="BM266" i="1" s="1"/>
  <c r="BM267" i="1" s="1"/>
  <c r="BM268" i="1" s="1"/>
  <c r="BM269" i="1" s="1"/>
  <c r="BM270" i="1" s="1"/>
  <c r="BM271" i="1" s="1"/>
  <c r="BM272" i="1" s="1"/>
  <c r="BM273" i="1" s="1"/>
  <c r="BM274" i="1" s="1"/>
  <c r="BM275" i="1" s="1"/>
  <c r="BM276" i="1" s="1"/>
  <c r="BM277" i="1" s="1"/>
  <c r="BM278" i="1" s="1"/>
  <c r="BM279" i="1" s="1"/>
  <c r="BM280" i="1" s="1"/>
  <c r="BM281" i="1" s="1"/>
  <c r="BM282" i="1" s="1"/>
  <c r="BM283" i="1" s="1"/>
  <c r="BM284" i="1" s="1"/>
  <c r="BM285" i="1" s="1"/>
  <c r="BM286" i="1" s="1"/>
  <c r="BM287" i="1" s="1"/>
  <c r="BM288" i="1" s="1"/>
  <c r="BM289" i="1" s="1"/>
  <c r="BM290" i="1" s="1"/>
  <c r="BM291" i="1" s="1"/>
  <c r="BM292" i="1" s="1"/>
  <c r="BM293" i="1" s="1"/>
  <c r="BM294" i="1" s="1"/>
  <c r="BM295" i="1" s="1"/>
  <c r="BM296" i="1" s="1"/>
  <c r="BM297" i="1" s="1"/>
  <c r="BM298" i="1" s="1"/>
  <c r="BM299" i="1" s="1"/>
  <c r="BM300" i="1" s="1"/>
  <c r="BM301" i="1" s="1"/>
  <c r="AT222" i="1"/>
  <c r="AT223" i="1" s="1"/>
  <c r="BP221" i="1" l="1"/>
  <c r="BP222" i="1" l="1"/>
  <c r="AT224" i="1"/>
  <c r="BP223" i="1" l="1"/>
  <c r="AT225" i="1"/>
  <c r="BP224" i="1" l="1"/>
  <c r="AT226" i="1"/>
  <c r="BP225" i="1" l="1"/>
  <c r="AT227" i="1"/>
  <c r="BP226" i="1" l="1"/>
  <c r="BP227" i="1" l="1"/>
  <c r="BP228" i="1" s="1"/>
  <c r="BP229" i="1" s="1"/>
  <c r="BP230" i="1" s="1"/>
  <c r="BP231" i="1" s="1"/>
  <c r="BP232" i="1" s="1"/>
  <c r="BP233" i="1" s="1"/>
  <c r="BP234" i="1" s="1"/>
  <c r="BP235" i="1" s="1"/>
  <c r="BP236" i="1" s="1"/>
  <c r="BP237" i="1" s="1"/>
  <c r="BP238" i="1" s="1"/>
  <c r="BP239" i="1" s="1"/>
  <c r="BP240" i="1" s="1"/>
  <c r="BP241" i="1" s="1"/>
  <c r="BP242" i="1" s="1"/>
  <c r="BP243" i="1" s="1"/>
  <c r="BP244" i="1" s="1"/>
  <c r="BP245" i="1" s="1"/>
  <c r="BP246" i="1" s="1"/>
  <c r="BP247" i="1" s="1"/>
  <c r="BP248" i="1" s="1"/>
  <c r="BP249" i="1" s="1"/>
  <c r="BP250" i="1" s="1"/>
  <c r="BP251" i="1" s="1"/>
  <c r="BP252" i="1" s="1"/>
  <c r="BP253" i="1" s="1"/>
  <c r="BP254" i="1" s="1"/>
  <c r="BP255" i="1" s="1"/>
  <c r="BP256" i="1" s="1"/>
  <c r="BP257" i="1" s="1"/>
  <c r="BP258" i="1" s="1"/>
  <c r="BP259" i="1" s="1"/>
  <c r="BP260" i="1" s="1"/>
  <c r="BP261" i="1" s="1"/>
  <c r="BP262" i="1" s="1"/>
  <c r="BP263" i="1" s="1"/>
  <c r="BP264" i="1" s="1"/>
  <c r="BP265" i="1" s="1"/>
  <c r="BP266" i="1" s="1"/>
  <c r="BP267" i="1" s="1"/>
  <c r="BP268" i="1" s="1"/>
  <c r="BP269" i="1" s="1"/>
  <c r="BP270" i="1" s="1"/>
  <c r="BP271" i="1" s="1"/>
  <c r="BP272" i="1" s="1"/>
  <c r="BP273" i="1" s="1"/>
  <c r="BP274" i="1" s="1"/>
  <c r="BP275" i="1" s="1"/>
  <c r="BP276" i="1" s="1"/>
  <c r="BP277" i="1" s="1"/>
  <c r="BP278" i="1" s="1"/>
  <c r="BP279" i="1" s="1"/>
  <c r="BP280" i="1" s="1"/>
  <c r="BP281" i="1" s="1"/>
  <c r="BP282" i="1" s="1"/>
  <c r="BP283" i="1" s="1"/>
  <c r="BP284" i="1" s="1"/>
  <c r="BP285" i="1" s="1"/>
  <c r="BP286" i="1" s="1"/>
  <c r="BP287" i="1" s="1"/>
  <c r="BP288" i="1" s="1"/>
  <c r="BP289" i="1" s="1"/>
  <c r="BP290" i="1" s="1"/>
  <c r="BP291" i="1" s="1"/>
  <c r="BP292" i="1" s="1"/>
  <c r="BP293" i="1" s="1"/>
  <c r="BP294" i="1" s="1"/>
  <c r="BP295" i="1" s="1"/>
  <c r="BP296" i="1" s="1"/>
  <c r="BP297" i="1" s="1"/>
  <c r="BP298" i="1" s="1"/>
  <c r="BP299" i="1" s="1"/>
  <c r="BP300" i="1" s="1"/>
  <c r="BP301" i="1" s="1"/>
  <c r="BQ301" i="1" s="1"/>
</calcChain>
</file>

<file path=xl/sharedStrings.xml><?xml version="1.0" encoding="utf-8"?>
<sst xmlns="http://schemas.openxmlformats.org/spreadsheetml/2006/main" count="293" uniqueCount="224">
  <si>
    <t>EEG Vergütung</t>
  </si>
  <si>
    <t>Strompreis
eON Wärmestrom</t>
  </si>
  <si>
    <t>Grundgebühr
eON Wärmestrom</t>
  </si>
  <si>
    <t>Autarkie</t>
  </si>
  <si>
    <t>Direktverbrauch</t>
  </si>
  <si>
    <t>Finazierungsrate</t>
  </si>
  <si>
    <t>Holz</t>
  </si>
  <si>
    <t>Strom</t>
  </si>
  <si>
    <t>Saison</t>
  </si>
  <si>
    <t>Eigenanteil</t>
  </si>
  <si>
    <t>Mieteranteil</t>
  </si>
  <si>
    <t>2012/13</t>
  </si>
  <si>
    <t>2013/14</t>
  </si>
  <si>
    <t>2014/15</t>
  </si>
  <si>
    <t>2015/16</t>
  </si>
  <si>
    <t>2016/17</t>
  </si>
  <si>
    <t>2017/18</t>
  </si>
  <si>
    <t>Verbrauch aus Speicher</t>
  </si>
  <si>
    <t>Eigenstrom Verbauch</t>
  </si>
  <si>
    <t>Mieterstrom Verbrauch</t>
  </si>
  <si>
    <t>Stromverwertung PV</t>
  </si>
  <si>
    <t>Gesamtvergleich Kosten</t>
  </si>
  <si>
    <t>Eigen Haushaltsstrom Kosten</t>
  </si>
  <si>
    <t>Mieter Haushaltsstrom Kosten</t>
  </si>
  <si>
    <t>Holz Kosten</t>
  </si>
  <si>
    <t>Gesamt Energie Kosten</t>
  </si>
  <si>
    <t>+/- Durchschnitt</t>
  </si>
  <si>
    <t>PV Durchschnitt
Stromertrag</t>
  </si>
  <si>
    <t>Durchschnitt Stromkosten</t>
  </si>
  <si>
    <t>Grundgebühr
HerzoWerke</t>
  </si>
  <si>
    <t>Abschlag
HerzoWerke</t>
  </si>
  <si>
    <t>Strompreis
HerzoWerke</t>
  </si>
  <si>
    <t>Gesamtstrom Bilanz kWh</t>
  </si>
  <si>
    <t>Gesamtstrom Bilanz €</t>
  </si>
  <si>
    <t>Zusätzliche Kosten</t>
  </si>
  <si>
    <t>Titel der zusätzlichen Kosten</t>
  </si>
  <si>
    <t>Eigen Haushaltsstrom
Verlauf Ist
Verbrauch</t>
  </si>
  <si>
    <t>Eigen Haushaltsstrom
Verlauf Soll
Verbrauch</t>
  </si>
  <si>
    <t>Mieter Haushaltsstrom
Verlauf Ist
Verbrauch</t>
  </si>
  <si>
    <t>Mieter Haushaltsstrom
Verlauf Soll
Verbrauch</t>
  </si>
  <si>
    <t>Eigenflächenanteil</t>
  </si>
  <si>
    <t>Mieterflächenanteil</t>
  </si>
  <si>
    <t>+/- bei Herzowerke</t>
  </si>
  <si>
    <t>Eigen Haushaltsstrom Soll Verbrauch</t>
  </si>
  <si>
    <t>Mieter Haushaltsstrom Soll Verbrauch</t>
  </si>
  <si>
    <t>2018/19</t>
  </si>
  <si>
    <t>2019/20</t>
  </si>
  <si>
    <t>2020/21</t>
  </si>
  <si>
    <t>2021/22</t>
  </si>
  <si>
    <t>Stromverlauf Ist Verbrauch</t>
  </si>
  <si>
    <t>Stromverlauf Soll Verbrauch</t>
  </si>
  <si>
    <t>Eigen Gewinn Verlauf</t>
  </si>
  <si>
    <t>Eigen Gewinn Verlauf o. Rate</t>
  </si>
  <si>
    <t>Abschlag Bayernwerk</t>
  </si>
  <si>
    <t>+/- bei Bayernwerk</t>
  </si>
  <si>
    <t>PV Stromertrag</t>
  </si>
  <si>
    <t>Gesamt Heizstrom Kosten</t>
  </si>
  <si>
    <t>Eigen Heizstrom Verbrauch</t>
  </si>
  <si>
    <t>Eigen Heizstrom Kosten</t>
  </si>
  <si>
    <t>Eigen Heiz Kosten</t>
  </si>
  <si>
    <t>Mieter Heizstrom Verbruach</t>
  </si>
  <si>
    <t>Mieter Heizstrom Kosten</t>
  </si>
  <si>
    <t>Mieter Heiz Kosten</t>
  </si>
  <si>
    <t>Gesamt Heiz Kosten</t>
  </si>
  <si>
    <t>Heiz Haushaltsstrom
Verlauf Ist
Verbrauch</t>
  </si>
  <si>
    <t>Heiz Haushaltsstrom
Verlauf Soll
Verbrauch</t>
  </si>
  <si>
    <t>Heiz Haushaltsstrom Soll Verbrauch</t>
  </si>
  <si>
    <t>Ausgleich Herzowerke</t>
  </si>
  <si>
    <t>Ausgleich Bayernwerk</t>
  </si>
  <si>
    <t>Heizkosten</t>
  </si>
  <si>
    <t>Holz
Ster</t>
  </si>
  <si>
    <t>Holz Energie</t>
  </si>
  <si>
    <t>kWh Wärmeenergie / 1 Ster Buchenholz</t>
  </si>
  <si>
    <t>Preis 1 Ster Buchenholz</t>
  </si>
  <si>
    <t>Energie von PV / Speicher</t>
  </si>
  <si>
    <t>Preis 1 Ster Holz</t>
  </si>
  <si>
    <t>Herzowerke</t>
  </si>
  <si>
    <t>Holzenergie in kWh</t>
  </si>
  <si>
    <t>Photovoltaik</t>
  </si>
  <si>
    <t>Anteil Pufferspeicher</t>
  </si>
  <si>
    <t>Wärmeenergie Pufferspeicher in kWh</t>
  </si>
  <si>
    <t>Arbeitszahl Wärmepumpe</t>
  </si>
  <si>
    <t>Kosten Wärmeenergie pro kWh</t>
  </si>
  <si>
    <t>Arbeitszahl einschl. Brunnenpumpe</t>
  </si>
  <si>
    <t>Stromenergie für Wärmeenergie in kWh</t>
  </si>
  <si>
    <t>Kosten Stromenergie pro kWh</t>
  </si>
  <si>
    <t>Kosten Stromenergie</t>
  </si>
  <si>
    <t>Verhältnis zum Holzpreis</t>
  </si>
  <si>
    <t>3.000 Watt</t>
  </si>
  <si>
    <t>Wärmeenergie Heizstab pro Std. in kWh</t>
  </si>
  <si>
    <t>Kosten Wärmeenergie Heizstab</t>
  </si>
  <si>
    <t>Stromenergie Wärmepumpe in kWh</t>
  </si>
  <si>
    <t>Kosten Wärmeenergie Wärmepumpe</t>
  </si>
  <si>
    <t>Verhältnis zum Heizstab</t>
  </si>
  <si>
    <t>Heizverbrauch</t>
  </si>
  <si>
    <t>Stromkosten</t>
  </si>
  <si>
    <t>Holzkosten</t>
  </si>
  <si>
    <t>Gesamtvergleichkosten</t>
  </si>
  <si>
    <t>% Sonnenstrom</t>
  </si>
  <si>
    <t>Ster Holz</t>
  </si>
  <si>
    <t>Preis Gesamt</t>
  </si>
  <si>
    <t>kWh Gesamt</t>
  </si>
  <si>
    <t>Differenz zu Holz</t>
  </si>
  <si>
    <t>Wärmeenergie (Strom)</t>
  </si>
  <si>
    <t>Wärmeenergie (Holz)</t>
  </si>
  <si>
    <t>Stromenergie abzüglich Grundlast</t>
  </si>
  <si>
    <t>Wärmeenergie Pufferpeicher in kWh</t>
  </si>
  <si>
    <t>Heizenergie in kWh</t>
  </si>
  <si>
    <t>Holzenergie in Abbränden</t>
  </si>
  <si>
    <t>Holzenergie pro Abbrand</t>
  </si>
  <si>
    <t>Heizstromenergie kWh</t>
  </si>
  <si>
    <t>Heizstromenergie (Kipppunkt) kWh</t>
  </si>
  <si>
    <t>Holzscheite pro Abbrand</t>
  </si>
  <si>
    <t>Holzscheite pro Ster</t>
  </si>
  <si>
    <t>Heizstromkosten (% Sonnenstrom von oben)</t>
  </si>
  <si>
    <t>Grundlast Heizstrom ohne WP kWp</t>
  </si>
  <si>
    <t>Holzkosten der Wärmeenergie</t>
  </si>
  <si>
    <t>Empfohlene Abbrände</t>
  </si>
  <si>
    <t>Kosten Heizstrom</t>
  </si>
  <si>
    <t>Kosten Holz</t>
  </si>
  <si>
    <t>Zeitraum in Tage</t>
  </si>
  <si>
    <t>Holzkosten für volle Abbrände</t>
  </si>
  <si>
    <t>Strombezug
(1.8.0)</t>
  </si>
  <si>
    <t>Prognose</t>
  </si>
  <si>
    <t>Vergleich Heizkosten nur Holz</t>
  </si>
  <si>
    <t>Vergleich Heizkosten nur eON Heizstrom</t>
  </si>
  <si>
    <t>Heizkosten nur Holz</t>
  </si>
  <si>
    <t>Heizkosten nur Strom</t>
  </si>
  <si>
    <t>Heizkosten nur eON Heizstrom</t>
  </si>
  <si>
    <t>Gesamtvergleich eON Heizstrom Kosten</t>
  </si>
  <si>
    <t>Gesamtvergleich PV Heizstrom Kosten</t>
  </si>
  <si>
    <t>Vergleich Heizkosten nur HerzoWerke Strom</t>
  </si>
  <si>
    <t>Vergleich Heizkosten nur
PV Heizstrom</t>
  </si>
  <si>
    <t>Heizkosten nur PV Heizstrom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</si>
  <si>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</si>
  <si>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</si>
  <si>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</si>
  <si>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</si>
  <si>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</si>
  <si>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</si>
  <si>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</si>
  <si>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</si>
  <si>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</si>
  <si>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</si>
  <si>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</si>
  <si>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</si>
  <si>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15,18 kWp
Süden
(46x 330 Wp)</t>
  </si>
  <si>
    <t>Differenz zu heute</t>
  </si>
  <si>
    <t>Gesamt</t>
  </si>
  <si>
    <t>Gesamtstrom Verbrauch</t>
  </si>
  <si>
    <t>Verbrauch
aktuell</t>
  </si>
  <si>
    <t>Autarkie
nach
Erweiterung</t>
  </si>
  <si>
    <t>Stromerzeugung zu Stromverbrauch
vor Erweiterung</t>
  </si>
  <si>
    <t>Stromerzeugung zu Stromverbrauch
nach Erweiterung</t>
  </si>
  <si>
    <t>Heizstrom Verbrauch
inkl. Heizstab</t>
  </si>
  <si>
    <t>Heizstab Verbrauch</t>
  </si>
  <si>
    <t>kWp</t>
  </si>
  <si>
    <t>Eigen Gewinn Verlauf Jahr</t>
  </si>
  <si>
    <t>2018 / 19</t>
  </si>
  <si>
    <t>2019 / 20</t>
  </si>
  <si>
    <t>2020 / 21</t>
  </si>
  <si>
    <t>2021 / 22</t>
  </si>
  <si>
    <t>2022 / 23</t>
  </si>
  <si>
    <t>2023 / 24</t>
  </si>
  <si>
    <t>2024 / 25</t>
  </si>
  <si>
    <t>2025 / 26</t>
  </si>
  <si>
    <t>2026 / 27</t>
  </si>
  <si>
    <t>2027 / 28</t>
  </si>
  <si>
    <t>2028 / 29</t>
  </si>
  <si>
    <t>2029 / 30</t>
  </si>
  <si>
    <t>2030 / 31</t>
  </si>
  <si>
    <t>2031 / 32</t>
  </si>
  <si>
    <t>2032 / 33</t>
  </si>
  <si>
    <t>2033 / 34</t>
  </si>
  <si>
    <t>2034 / 35</t>
  </si>
  <si>
    <t>2035 / 36</t>
  </si>
  <si>
    <t>2036 / 37</t>
  </si>
  <si>
    <t>2037 / 38</t>
  </si>
  <si>
    <t>2038 / 39</t>
  </si>
  <si>
    <t>2039 / 40</t>
  </si>
  <si>
    <t>2040 / 41</t>
  </si>
  <si>
    <t>2041 / 42</t>
  </si>
  <si>
    <t>2042 / 43</t>
  </si>
  <si>
    <t>Stromeinspeisung
(2.8.0)</t>
  </si>
  <si>
    <t>5,28 / 4,62</t>
  </si>
  <si>
    <t>16 / 16</t>
  </si>
  <si>
    <t>PV-Erweiterung nach Modulen</t>
  </si>
  <si>
    <t>PV-Erweiterung nach kWp</t>
  </si>
  <si>
    <t>1:
7,92 kWp Süden
(24x 330 Wp)</t>
  </si>
  <si>
    <t>2:
7,26 kWp Süden
(22x 330 Wp)</t>
  </si>
  <si>
    <t>4:
6,4 kWp Norden
(20x 320 Wp)</t>
  </si>
  <si>
    <t>Gesamt
15,18 kWp Süden
14,08 kWp Norden
29,26 kWp</t>
  </si>
  <si>
    <t>Strompreis 25J</t>
  </si>
  <si>
    <t>Strompreis 30J</t>
  </si>
  <si>
    <t>3:
7,68 kWp Norden
(24x 320 Wp)</t>
  </si>
  <si>
    <t>Kosten Stromenergie eON (€ 0,2110)</t>
  </si>
  <si>
    <t>Gesamt Kosten einschl. Kredit</t>
  </si>
  <si>
    <t>Gesamt Kosten zzgl. Kredit</t>
  </si>
  <si>
    <t>Gesamt Differenz einschl. Kredit</t>
  </si>
  <si>
    <t>Gesamt Differenz zzgl. Kredit</t>
  </si>
  <si>
    <t>Gesamtstrom Bilanz Verlauf €</t>
  </si>
  <si>
    <t>Gesamtstrom Kosten zzgl. Kredit</t>
  </si>
  <si>
    <t>Wechselrichter 1
1: 7,92 kWp Süden
3: 7,68 kWp Norden
15,6 kWp</t>
  </si>
  <si>
    <t>Wechselrichter 2
2: 7,26 kWp Süden
4: 6,4 kWp Norden
13,66 kWp</t>
  </si>
  <si>
    <t>kWh / 100 km</t>
  </si>
  <si>
    <t>Liter / 100 km</t>
  </si>
  <si>
    <t>€ pro Liter</t>
  </si>
  <si>
    <t>E-Mobilität Verbrauch
E-Auto geladen   /   E-Auto entladen</t>
  </si>
  <si>
    <t>Eigen, Heiz &amp; Mobilität Kosten</t>
  </si>
  <si>
    <t>Eigen, Heiz &amp; Mobilität Vergleich Kosten</t>
  </si>
  <si>
    <t>Verbrenner Mobilität
Vergleich
Kosten</t>
  </si>
  <si>
    <t>E-Mobilität (PV)
vs. Verbrenner
Kosten</t>
  </si>
  <si>
    <t>E-Mobilität (PV)
vs. Verbrenner
Kosten
Verlauf</t>
  </si>
  <si>
    <t>Laden an Ladestationen
Verbrauch</t>
  </si>
  <si>
    <t>E-Mobilität (PV)
Kosten</t>
  </si>
  <si>
    <t>E-Mobilität
Gesamt
Kosten</t>
  </si>
  <si>
    <t>E-Mobilität (PV)
vs. E-Mobilität (Netzbezug)
Kosten</t>
  </si>
  <si>
    <t>E-Mobilität
(Netzbezug)
Vergleich
Kosten</t>
  </si>
  <si>
    <t>Eigen, Heiz &amp; Mobilität Differenz</t>
  </si>
  <si>
    <t>Eigen, Heiz &amp; Mobilität Differenz o. Kosten</t>
  </si>
  <si>
    <t>gefahrene km
über Strom</t>
  </si>
  <si>
    <t>Laden an Ladestationen
Kosten
(kWh * €/kWh)</t>
  </si>
  <si>
    <t>E-Mobilität (PV)
vs. E-Mobilität (Netzbezug)
Kosten
Verlauf</t>
  </si>
  <si>
    <t>Steigerung
(Anteil Norden an Süden)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</si>
</sst>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€&quot;_-;\-* #,##0.00\ &quot;€&quot;_-;_-* &quot;-&quot;??\ &quot;€&quot;_-;_-@_-"/>
    <numFmt numFmtId="164" formatCode="[$-407]mmmm;@"/>
    <numFmt numFmtId="165" formatCode="#,##0.0"/>
    <numFmt numFmtId="166" formatCode="#,##0.0000\ &quot;€&quot;"/>
    <numFmt numFmtId="167" formatCode="#,##0.00\ &quot;€&quot;"/>
    <numFmt numFmtId="168" formatCode="0.000%"/>
    <numFmt numFmtId="169" formatCode="[$-407]mmmm\ yy;@"/>
    <numFmt numFmtId="170" formatCode="_-* #,##0.0000\ [$€-407]_-;\-* #,##0.0000\ [$€-407]_-;_-* &quot;-&quot;??\ [$€-407]_-;_-@_-"/>
    <numFmt numFmtId="171" formatCode="#,##0.0_ ;\-#,##0.0\ "/>
    <numFmt numFmtId="172" formatCode="_-* #,##0.00\ [$€-407]_-;\-* #,##0.00\ [$€-407]_-;_-* &quot;-&quot;????\ [$€-407]_-;_-@_-"/>
    <numFmt numFmtId="173" formatCode="0.0%"/>
    <numFmt numFmtId="174" formatCode="_-* #,##0.0000\ [$€-407]_-;\-* #,##0.0000\ [$€-407]_-;_-* &quot;-&quot;????\ [$€-407]_-;_-@_-"/>
    <numFmt numFmtId="175" formatCode="#,##0.00\ [$€-407];\-#,##0.00\ [$€-407]"/>
    <numFmt numFmtId="176" formatCode="#,##0_ ;\-#,##0\ "/>
    <numFmt numFmtId="177" formatCode="0.0"/>
    <numFmt numFmtId="178" formatCode="#,##0.00000"/>
  </numFmts>
  <fonts count="28" x14ac:knownFonts="1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 tint="0.499984740745262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9C0006"/>
      <name val="Calibri"/>
      <family val="2"/>
      <scheme val="minor"/>
    </font>
    <font>
      <b/>
      <sz val="12"/>
      <color rgb="FF9C57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</borders>
  <cellStyleXfs count="9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</cellStyleXfs>
  <cellXfs count="420">
    <xf numFmtId="0" fontId="0" fillId="0" borderId="0" xfId="0"/>
    <xf numFmtId="0" fontId="6" fillId="0" borderId="0" xfId="0" applyFont="1"/>
    <xf numFmtId="165" fontId="6" fillId="2" borderId="0" xfId="0" applyNumberFormat="1" applyFont="1" applyFill="1"/>
    <xf numFmtId="165" fontId="6" fillId="3" borderId="0" xfId="0" applyNumberFormat="1" applyFont="1" applyFill="1"/>
    <xf numFmtId="165" fontId="6" fillId="4" borderId="0" xfId="0" applyNumberFormat="1" applyFont="1" applyFill="1"/>
    <xf numFmtId="167" fontId="6" fillId="5" borderId="0" xfId="0" applyNumberFormat="1" applyFont="1" applyFill="1"/>
    <xf numFmtId="167" fontId="0" fillId="5" borderId="0" xfId="0" applyNumberFormat="1" applyFill="1"/>
    <xf numFmtId="165" fontId="0" fillId="5" borderId="0" xfId="0" applyNumberFormat="1" applyFill="1"/>
    <xf numFmtId="165" fontId="6" fillId="5" borderId="0" xfId="0" applyNumberFormat="1" applyFont="1" applyFill="1"/>
    <xf numFmtId="165" fontId="0" fillId="2" borderId="0" xfId="0" applyNumberFormat="1" applyFill="1"/>
    <xf numFmtId="167" fontId="6" fillId="2" borderId="0" xfId="0" applyNumberFormat="1" applyFont="1" applyFill="1"/>
    <xf numFmtId="0" fontId="0" fillId="4" borderId="0" xfId="0" applyFill="1"/>
    <xf numFmtId="167" fontId="6" fillId="4" borderId="0" xfId="0" applyNumberFormat="1" applyFont="1" applyFill="1"/>
    <xf numFmtId="167" fontId="0" fillId="4" borderId="0" xfId="0" applyNumberFormat="1" applyFill="1"/>
    <xf numFmtId="167" fontId="6" fillId="0" borderId="0" xfId="0" applyNumberFormat="1" applyFont="1" applyProtection="1">
      <protection locked="0"/>
    </xf>
    <xf numFmtId="167" fontId="0" fillId="2" borderId="0" xfId="0" applyNumberFormat="1" applyFill="1"/>
    <xf numFmtId="169" fontId="6" fillId="6" borderId="0" xfId="0" applyNumberFormat="1" applyFont="1" applyFill="1" applyAlignment="1">
      <alignment horizontal="right"/>
    </xf>
    <xf numFmtId="169" fontId="8" fillId="6" borderId="0" xfId="0" applyNumberFormat="1" applyFont="1" applyFill="1" applyAlignment="1">
      <alignment horizontal="right"/>
    </xf>
    <xf numFmtId="169" fontId="6" fillId="6" borderId="1" xfId="0" applyNumberFormat="1" applyFont="1" applyFill="1" applyBorder="1" applyAlignment="1">
      <alignment horizontal="right"/>
    </xf>
    <xf numFmtId="165" fontId="6" fillId="5" borderId="1" xfId="0" applyNumberFormat="1" applyFont="1" applyFill="1" applyBorder="1"/>
    <xf numFmtId="165" fontId="6" fillId="2" borderId="1" xfId="0" applyNumberFormat="1" applyFont="1" applyFill="1" applyBorder="1"/>
    <xf numFmtId="167" fontId="6" fillId="5" borderId="1" xfId="1" applyNumberFormat="1" applyFont="1" applyFill="1" applyBorder="1"/>
    <xf numFmtId="167" fontId="6" fillId="5" borderId="1" xfId="0" applyNumberFormat="1" applyFont="1" applyFill="1" applyBorder="1"/>
    <xf numFmtId="167" fontId="6" fillId="0" borderId="1" xfId="0" applyNumberFormat="1" applyFont="1" applyBorder="1" applyProtection="1">
      <protection locked="0"/>
    </xf>
    <xf numFmtId="167" fontId="6" fillId="2" borderId="1" xfId="0" applyNumberFormat="1" applyFont="1" applyFill="1" applyBorder="1"/>
    <xf numFmtId="167" fontId="6" fillId="4" borderId="1" xfId="0" applyNumberFormat="1" applyFont="1" applyFill="1" applyBorder="1"/>
    <xf numFmtId="165" fontId="6" fillId="4" borderId="1" xfId="0" applyNumberFormat="1" applyFont="1" applyFill="1" applyBorder="1"/>
    <xf numFmtId="165" fontId="6" fillId="3" borderId="1" xfId="0" applyNumberFormat="1" applyFont="1" applyFill="1" applyBorder="1"/>
    <xf numFmtId="0" fontId="0" fillId="0" borderId="1" xfId="0" applyBorder="1"/>
    <xf numFmtId="169" fontId="6" fillId="6" borderId="2" xfId="0" applyNumberFormat="1" applyFont="1" applyFill="1" applyBorder="1" applyAlignment="1">
      <alignment horizontal="right"/>
    </xf>
    <xf numFmtId="165" fontId="6" fillId="5" borderId="2" xfId="0" applyNumberFormat="1" applyFont="1" applyFill="1" applyBorder="1"/>
    <xf numFmtId="165" fontId="6" fillId="2" borderId="2" xfId="0" applyNumberFormat="1" applyFont="1" applyFill="1" applyBorder="1"/>
    <xf numFmtId="167" fontId="6" fillId="5" borderId="2" xfId="1" applyNumberFormat="1" applyFont="1" applyFill="1" applyBorder="1"/>
    <xf numFmtId="167" fontId="6" fillId="5" borderId="2" xfId="0" applyNumberFormat="1" applyFont="1" applyFill="1" applyBorder="1"/>
    <xf numFmtId="167" fontId="6" fillId="0" borderId="2" xfId="0" applyNumberFormat="1" applyFont="1" applyBorder="1" applyProtection="1">
      <protection locked="0"/>
    </xf>
    <xf numFmtId="167" fontId="6" fillId="2" borderId="2" xfId="0" applyNumberFormat="1" applyFont="1" applyFill="1" applyBorder="1"/>
    <xf numFmtId="167" fontId="6" fillId="4" borderId="2" xfId="0" applyNumberFormat="1" applyFont="1" applyFill="1" applyBorder="1"/>
    <xf numFmtId="165" fontId="6" fillId="4" borderId="2" xfId="0" applyNumberFormat="1" applyFont="1" applyFill="1" applyBorder="1"/>
    <xf numFmtId="165" fontId="6" fillId="3" borderId="2" xfId="0" applyNumberFormat="1" applyFont="1" applyFill="1" applyBorder="1"/>
    <xf numFmtId="0" fontId="0" fillId="0" borderId="2" xfId="0" applyBorder="1"/>
    <xf numFmtId="167" fontId="6" fillId="2" borderId="0" xfId="0" applyNumberFormat="1" applyFont="1" applyFill="1" applyBorder="1"/>
    <xf numFmtId="168" fontId="0" fillId="0" borderId="0" xfId="0" applyNumberFormat="1" applyProtection="1"/>
    <xf numFmtId="0" fontId="7" fillId="0" borderId="0" xfId="0" applyFont="1" applyAlignment="1" applyProtection="1">
      <alignment horizontal="right"/>
    </xf>
    <xf numFmtId="165" fontId="6" fillId="0" borderId="0" xfId="0" applyNumberFormat="1" applyFont="1" applyProtection="1"/>
    <xf numFmtId="167" fontId="6" fillId="0" borderId="0" xfId="0" applyNumberFormat="1" applyFont="1" applyProtection="1"/>
    <xf numFmtId="165" fontId="0" fillId="0" borderId="0" xfId="0" applyNumberFormat="1" applyProtection="1"/>
    <xf numFmtId="166" fontId="0" fillId="0" borderId="0" xfId="0" applyNumberFormat="1" applyProtection="1"/>
    <xf numFmtId="0" fontId="0" fillId="0" borderId="0" xfId="0" applyProtection="1"/>
    <xf numFmtId="167" fontId="0" fillId="0" borderId="0" xfId="0" applyNumberFormat="1" applyProtection="1"/>
    <xf numFmtId="0" fontId="0" fillId="0" borderId="0" xfId="0" applyAlignment="1" applyProtection="1">
      <alignment horizontal="right"/>
    </xf>
    <xf numFmtId="167" fontId="0" fillId="0" borderId="0" xfId="1" applyNumberFormat="1" applyFont="1" applyProtection="1"/>
    <xf numFmtId="9" fontId="6" fillId="0" borderId="0" xfId="2" applyFont="1" applyProtection="1"/>
    <xf numFmtId="167" fontId="12" fillId="0" borderId="0" xfId="2" applyNumberFormat="1" applyFont="1" applyProtection="1"/>
    <xf numFmtId="164" fontId="6" fillId="0" borderId="0" xfId="0" applyNumberFormat="1" applyFont="1" applyAlignment="1" applyProtection="1">
      <alignment horizontal="right"/>
    </xf>
    <xf numFmtId="167" fontId="12" fillId="0" borderId="0" xfId="0" applyNumberFormat="1" applyFont="1" applyProtection="1"/>
    <xf numFmtId="164" fontId="8" fillId="0" borderId="0" xfId="0" applyNumberFormat="1" applyFont="1" applyAlignment="1" applyProtection="1">
      <alignment horizontal="right"/>
    </xf>
    <xf numFmtId="165" fontId="6" fillId="5" borderId="3" xfId="0" applyNumberFormat="1" applyFont="1" applyFill="1" applyBorder="1"/>
    <xf numFmtId="165" fontId="6" fillId="5" borderId="5" xfId="0" applyNumberFormat="1" applyFont="1" applyFill="1" applyBorder="1"/>
    <xf numFmtId="165" fontId="6" fillId="5" borderId="7" xfId="0" applyNumberFormat="1" applyFont="1" applyFill="1" applyBorder="1"/>
    <xf numFmtId="165" fontId="0" fillId="5" borderId="3" xfId="0" applyNumberFormat="1" applyFill="1" applyBorder="1"/>
    <xf numFmtId="165" fontId="0" fillId="5" borderId="4" xfId="0" applyNumberFormat="1" applyFill="1" applyBorder="1"/>
    <xf numFmtId="165" fontId="6" fillId="0" borderId="3" xfId="0" applyNumberFormat="1" applyFont="1" applyBorder="1" applyProtection="1">
      <protection locked="0"/>
    </xf>
    <xf numFmtId="165" fontId="6" fillId="0" borderId="7" xfId="0" applyNumberFormat="1" applyFont="1" applyBorder="1" applyProtection="1">
      <protection locked="0"/>
    </xf>
    <xf numFmtId="165" fontId="6" fillId="0" borderId="5" xfId="0" applyNumberFormat="1" applyFont="1" applyBorder="1" applyProtection="1">
      <protection locked="0"/>
    </xf>
    <xf numFmtId="165" fontId="6" fillId="5" borderId="4" xfId="0" applyNumberFormat="1" applyFont="1" applyFill="1" applyBorder="1"/>
    <xf numFmtId="165" fontId="6" fillId="2" borderId="3" xfId="0" applyNumberFormat="1" applyFont="1" applyFill="1" applyBorder="1"/>
    <xf numFmtId="165" fontId="6" fillId="2" borderId="7" xfId="0" applyNumberFormat="1" applyFont="1" applyFill="1" applyBorder="1"/>
    <xf numFmtId="165" fontId="6" fillId="2" borderId="5" xfId="0" applyNumberFormat="1" applyFont="1" applyFill="1" applyBorder="1"/>
    <xf numFmtId="165" fontId="6" fillId="2" borderId="4" xfId="0" applyNumberFormat="1" applyFont="1" applyFill="1" applyBorder="1"/>
    <xf numFmtId="165" fontId="6" fillId="3" borderId="3" xfId="0" applyNumberFormat="1" applyFont="1" applyFill="1" applyBorder="1"/>
    <xf numFmtId="165" fontId="6" fillId="3" borderId="4" xfId="0" applyNumberFormat="1" applyFont="1" applyFill="1" applyBorder="1"/>
    <xf numFmtId="165" fontId="6" fillId="4" borderId="3" xfId="0" applyNumberFormat="1" applyFont="1" applyFill="1" applyBorder="1"/>
    <xf numFmtId="165" fontId="6" fillId="4" borderId="4" xfId="0" applyNumberFormat="1" applyFont="1" applyFill="1" applyBorder="1"/>
    <xf numFmtId="9" fontId="6" fillId="5" borderId="3" xfId="2" applyFont="1" applyFill="1" applyBorder="1"/>
    <xf numFmtId="9" fontId="6" fillId="5" borderId="7" xfId="2" applyFont="1" applyFill="1" applyBorder="1"/>
    <xf numFmtId="9" fontId="6" fillId="5" borderId="5" xfId="2" applyFont="1" applyFill="1" applyBorder="1"/>
    <xf numFmtId="0" fontId="0" fillId="5" borderId="3" xfId="0" applyFill="1" applyBorder="1"/>
    <xf numFmtId="0" fontId="0" fillId="5" borderId="4" xfId="0" applyFill="1" applyBorder="1"/>
    <xf numFmtId="166" fontId="6" fillId="5" borderId="3" xfId="1" applyNumberFormat="1" applyFont="1" applyFill="1" applyBorder="1" applyAlignment="1">
      <alignment horizontal="right"/>
    </xf>
    <xf numFmtId="167" fontId="6" fillId="5" borderId="0" xfId="1" applyNumberFormat="1" applyFont="1" applyFill="1" applyBorder="1"/>
    <xf numFmtId="167" fontId="6" fillId="5" borderId="4" xfId="1" applyNumberFormat="1" applyFont="1" applyFill="1" applyBorder="1"/>
    <xf numFmtId="166" fontId="6" fillId="5" borderId="7" xfId="1" applyNumberFormat="1" applyFont="1" applyFill="1" applyBorder="1" applyAlignment="1">
      <alignment horizontal="right"/>
    </xf>
    <xf numFmtId="167" fontId="6" fillId="5" borderId="9" xfId="1" applyNumberFormat="1" applyFont="1" applyFill="1" applyBorder="1"/>
    <xf numFmtId="166" fontId="6" fillId="5" borderId="5" xfId="1" applyNumberFormat="1" applyFont="1" applyFill="1" applyBorder="1" applyAlignment="1">
      <alignment horizontal="right"/>
    </xf>
    <xf numFmtId="167" fontId="6" fillId="5" borderId="6" xfId="1" applyNumberFormat="1" applyFont="1" applyFill="1" applyBorder="1"/>
    <xf numFmtId="0" fontId="0" fillId="5" borderId="0" xfId="0" applyFill="1" applyBorder="1"/>
    <xf numFmtId="167" fontId="0" fillId="5" borderId="4" xfId="0" applyNumberFormat="1" applyFill="1" applyBorder="1"/>
    <xf numFmtId="167" fontId="0" fillId="5" borderId="3" xfId="0" applyNumberFormat="1" applyFill="1" applyBorder="1"/>
    <xf numFmtId="167" fontId="6" fillId="5" borderId="4" xfId="0" applyNumberFormat="1" applyFont="1" applyFill="1" applyBorder="1"/>
    <xf numFmtId="167" fontId="6" fillId="5" borderId="9" xfId="0" applyNumberFormat="1" applyFont="1" applyFill="1" applyBorder="1"/>
    <xf numFmtId="167" fontId="6" fillId="5" borderId="6" xfId="0" applyNumberFormat="1" applyFont="1" applyFill="1" applyBorder="1"/>
    <xf numFmtId="167" fontId="6" fillId="5" borderId="10" xfId="0" applyNumberFormat="1" applyFont="1" applyFill="1" applyBorder="1"/>
    <xf numFmtId="167" fontId="6" fillId="5" borderId="12" xfId="0" applyNumberFormat="1" applyFont="1" applyFill="1" applyBorder="1"/>
    <xf numFmtId="167" fontId="0" fillId="5" borderId="10" xfId="0" applyNumberFormat="1" applyFill="1" applyBorder="1"/>
    <xf numFmtId="167" fontId="6" fillId="0" borderId="3" xfId="0" applyNumberFormat="1" applyFont="1" applyBorder="1" applyProtection="1">
      <protection locked="0"/>
    </xf>
    <xf numFmtId="167" fontId="6" fillId="0" borderId="4" xfId="0" applyNumberFormat="1" applyFont="1" applyBorder="1" applyProtection="1">
      <protection locked="0"/>
    </xf>
    <xf numFmtId="167" fontId="6" fillId="0" borderId="7" xfId="0" applyNumberFormat="1" applyFont="1" applyBorder="1" applyProtection="1">
      <protection locked="0"/>
    </xf>
    <xf numFmtId="167" fontId="6" fillId="0" borderId="9" xfId="0" applyNumberFormat="1" applyFont="1" applyBorder="1" applyProtection="1">
      <protection locked="0"/>
    </xf>
    <xf numFmtId="167" fontId="6" fillId="0" borderId="5" xfId="0" applyNumberFormat="1" applyFont="1" applyBorder="1" applyProtection="1">
      <protection locked="0"/>
    </xf>
    <xf numFmtId="167" fontId="6" fillId="0" borderId="6" xfId="0" applyNumberFormat="1" applyFont="1" applyBorder="1" applyProtection="1">
      <protection locked="0"/>
    </xf>
    <xf numFmtId="167" fontId="6" fillId="5" borderId="3" xfId="0" applyNumberFormat="1" applyFont="1" applyFill="1" applyBorder="1"/>
    <xf numFmtId="167" fontId="6" fillId="5" borderId="7" xfId="0" applyNumberFormat="1" applyFont="1" applyFill="1" applyBorder="1"/>
    <xf numFmtId="167" fontId="6" fillId="5" borderId="5" xfId="0" applyNumberFormat="1" applyFont="1" applyFill="1" applyBorder="1"/>
    <xf numFmtId="167" fontId="6" fillId="5" borderId="11" xfId="0" applyNumberFormat="1" applyFont="1" applyFill="1" applyBorder="1"/>
    <xf numFmtId="167" fontId="6" fillId="2" borderId="10" xfId="0" applyNumberFormat="1" applyFont="1" applyFill="1" applyBorder="1"/>
    <xf numFmtId="167" fontId="6" fillId="2" borderId="11" xfId="0" applyNumberFormat="1" applyFont="1" applyFill="1" applyBorder="1"/>
    <xf numFmtId="167" fontId="6" fillId="2" borderId="12" xfId="0" applyNumberFormat="1" applyFont="1" applyFill="1" applyBorder="1"/>
    <xf numFmtId="167" fontId="0" fillId="2" borderId="10" xfId="0" applyNumberFormat="1" applyFill="1" applyBorder="1"/>
    <xf numFmtId="167" fontId="6" fillId="3" borderId="10" xfId="0" applyNumberFormat="1" applyFont="1" applyFill="1" applyBorder="1"/>
    <xf numFmtId="167" fontId="6" fillId="3" borderId="11" xfId="0" applyNumberFormat="1" applyFont="1" applyFill="1" applyBorder="1"/>
    <xf numFmtId="167" fontId="6" fillId="3" borderId="12" xfId="0" applyNumberFormat="1" applyFont="1" applyFill="1" applyBorder="1"/>
    <xf numFmtId="0" fontId="0" fillId="3" borderId="10" xfId="0" applyFill="1" applyBorder="1"/>
    <xf numFmtId="167" fontId="6" fillId="4" borderId="10" xfId="0" applyNumberFormat="1" applyFont="1" applyFill="1" applyBorder="1"/>
    <xf numFmtId="167" fontId="6" fillId="4" borderId="11" xfId="0" applyNumberFormat="1" applyFont="1" applyFill="1" applyBorder="1"/>
    <xf numFmtId="167" fontId="6" fillId="4" borderId="12" xfId="0" applyNumberFormat="1" applyFont="1" applyFill="1" applyBorder="1"/>
    <xf numFmtId="0" fontId="0" fillId="4" borderId="10" xfId="0" applyFill="1" applyBorder="1"/>
    <xf numFmtId="165" fontId="6" fillId="4" borderId="10" xfId="0" applyNumberFormat="1" applyFont="1" applyFill="1" applyBorder="1"/>
    <xf numFmtId="165" fontId="6" fillId="4" borderId="11" xfId="0" applyNumberFormat="1" applyFont="1" applyFill="1" applyBorder="1"/>
    <xf numFmtId="165" fontId="6" fillId="4" borderId="12" xfId="0" applyNumberFormat="1" applyFont="1" applyFill="1" applyBorder="1"/>
    <xf numFmtId="167" fontId="0" fillId="4" borderId="10" xfId="0" applyNumberFormat="1" applyFill="1" applyBorder="1"/>
    <xf numFmtId="167" fontId="7" fillId="4" borderId="10" xfId="0" applyNumberFormat="1" applyFont="1" applyFill="1" applyBorder="1" applyAlignment="1">
      <alignment horizontal="right"/>
    </xf>
    <xf numFmtId="167" fontId="11" fillId="4" borderId="10" xfId="0" applyNumberFormat="1" applyFont="1" applyFill="1" applyBorder="1" applyAlignment="1">
      <alignment horizontal="right"/>
    </xf>
    <xf numFmtId="167" fontId="7" fillId="4" borderId="11" xfId="0" applyNumberFormat="1" applyFont="1" applyFill="1" applyBorder="1" applyAlignment="1">
      <alignment horizontal="right"/>
    </xf>
    <xf numFmtId="165" fontId="6" fillId="5" borderId="10" xfId="0" applyNumberFormat="1" applyFont="1" applyFill="1" applyBorder="1"/>
    <xf numFmtId="165" fontId="6" fillId="5" borderId="11" xfId="0" applyNumberFormat="1" applyFont="1" applyFill="1" applyBorder="1"/>
    <xf numFmtId="165" fontId="6" fillId="5" borderId="12" xfId="0" applyNumberFormat="1" applyFont="1" applyFill="1" applyBorder="1"/>
    <xf numFmtId="165" fontId="0" fillId="5" borderId="10" xfId="0" applyNumberFormat="1" applyFill="1" applyBorder="1"/>
    <xf numFmtId="165" fontId="6" fillId="2" borderId="10" xfId="0" applyNumberFormat="1" applyFont="1" applyFill="1" applyBorder="1"/>
    <xf numFmtId="165" fontId="6" fillId="2" borderId="11" xfId="0" applyNumberFormat="1" applyFont="1" applyFill="1" applyBorder="1"/>
    <xf numFmtId="165" fontId="6" fillId="2" borderId="12" xfId="0" applyNumberFormat="1" applyFont="1" applyFill="1" applyBorder="1"/>
    <xf numFmtId="165" fontId="6" fillId="3" borderId="10" xfId="0" applyNumberFormat="1" applyFont="1" applyFill="1" applyBorder="1"/>
    <xf numFmtId="165" fontId="6" fillId="3" borderId="11" xfId="0" applyNumberFormat="1" applyFont="1" applyFill="1" applyBorder="1"/>
    <xf numFmtId="165" fontId="6" fillId="3" borderId="12" xfId="0" applyNumberFormat="1" applyFont="1" applyFill="1" applyBorder="1"/>
    <xf numFmtId="0" fontId="7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165" fontId="0" fillId="0" borderId="0" xfId="0" applyNumberFormat="1" applyAlignment="1" applyProtection="1">
      <alignment horizontal="right"/>
    </xf>
    <xf numFmtId="3" fontId="6" fillId="0" borderId="0" xfId="0" applyNumberFormat="1" applyFont="1" applyProtection="1">
      <protection locked="0"/>
    </xf>
    <xf numFmtId="3" fontId="6" fillId="0" borderId="2" xfId="0" applyNumberFormat="1" applyFont="1" applyBorder="1" applyProtection="1">
      <protection locked="0"/>
    </xf>
    <xf numFmtId="3" fontId="6" fillId="0" borderId="1" xfId="0" applyNumberFormat="1" applyFont="1" applyBorder="1" applyProtection="1">
      <protection locked="0"/>
    </xf>
    <xf numFmtId="3" fontId="0" fillId="4" borderId="0" xfId="0" applyNumberFormat="1" applyFill="1"/>
    <xf numFmtId="165" fontId="6" fillId="4" borderId="0" xfId="0" applyNumberFormat="1" applyFont="1" applyFill="1" applyProtection="1"/>
    <xf numFmtId="165" fontId="6" fillId="4" borderId="6" xfId="0" applyNumberFormat="1" applyFont="1" applyFill="1" applyBorder="1" applyProtection="1"/>
    <xf numFmtId="165" fontId="0" fillId="4" borderId="0" xfId="0" applyNumberFormat="1" applyFill="1" applyProtection="1"/>
    <xf numFmtId="0" fontId="14" fillId="0" borderId="0" xfId="3" applyFont="1" applyProtection="1"/>
    <xf numFmtId="0" fontId="4" fillId="0" borderId="0" xfId="3" applyProtection="1"/>
    <xf numFmtId="0" fontId="4" fillId="0" borderId="0" xfId="3" applyAlignment="1" applyProtection="1">
      <alignment horizontal="right"/>
    </xf>
    <xf numFmtId="0" fontId="13" fillId="0" borderId="0" xfId="3" applyFont="1" applyAlignment="1" applyProtection="1">
      <alignment horizontal="right"/>
    </xf>
    <xf numFmtId="44" fontId="13" fillId="0" borderId="0" xfId="3" applyNumberFormat="1" applyFont="1" applyAlignment="1" applyProtection="1">
      <alignment horizontal="right"/>
    </xf>
    <xf numFmtId="170" fontId="14" fillId="0" borderId="0" xfId="3" applyNumberFormat="1" applyFont="1" applyProtection="1"/>
    <xf numFmtId="3" fontId="4" fillId="0" borderId="0" xfId="3" applyNumberFormat="1" applyProtection="1"/>
    <xf numFmtId="9" fontId="4" fillId="0" borderId="0" xfId="3" applyNumberFormat="1" applyAlignment="1" applyProtection="1">
      <alignment horizontal="right"/>
    </xf>
    <xf numFmtId="3" fontId="13" fillId="0" borderId="0" xfId="3" applyNumberFormat="1" applyFont="1" applyProtection="1"/>
    <xf numFmtId="171" fontId="14" fillId="0" borderId="0" xfId="3" applyNumberFormat="1" applyFont="1" applyProtection="1"/>
    <xf numFmtId="170" fontId="4" fillId="0" borderId="0" xfId="3" applyNumberFormat="1" applyProtection="1"/>
    <xf numFmtId="171" fontId="4" fillId="0" borderId="0" xfId="3" applyNumberFormat="1" applyAlignment="1" applyProtection="1">
      <alignment horizontal="right"/>
    </xf>
    <xf numFmtId="2" fontId="4" fillId="0" borderId="0" xfId="3" applyNumberFormat="1" applyAlignment="1" applyProtection="1">
      <alignment horizontal="right"/>
    </xf>
    <xf numFmtId="170" fontId="4" fillId="0" borderId="0" xfId="3" applyNumberFormat="1" applyAlignment="1" applyProtection="1">
      <alignment horizontal="right"/>
    </xf>
    <xf numFmtId="172" fontId="13" fillId="0" borderId="0" xfId="3" applyNumberFormat="1" applyFont="1" applyAlignment="1" applyProtection="1">
      <alignment horizontal="right"/>
    </xf>
    <xf numFmtId="0" fontId="15" fillId="0" borderId="0" xfId="3" applyFont="1" applyProtection="1"/>
    <xf numFmtId="0" fontId="13" fillId="0" borderId="0" xfId="3" applyFont="1" applyProtection="1"/>
    <xf numFmtId="3" fontId="14" fillId="0" borderId="0" xfId="3" applyNumberFormat="1" applyFont="1" applyProtection="1">
      <protection locked="0"/>
    </xf>
    <xf numFmtId="44" fontId="14" fillId="0" borderId="0" xfId="4" applyFont="1" applyProtection="1">
      <protection locked="0"/>
    </xf>
    <xf numFmtId="167" fontId="7" fillId="0" borderId="0" xfId="0" applyNumberFormat="1" applyFont="1" applyProtection="1"/>
    <xf numFmtId="3" fontId="4" fillId="0" borderId="0" xfId="3" applyNumberFormat="1" applyAlignment="1" applyProtection="1">
      <alignment horizontal="right"/>
    </xf>
    <xf numFmtId="174" fontId="4" fillId="0" borderId="0" xfId="3" applyNumberFormat="1" applyAlignment="1" applyProtection="1">
      <alignment horizontal="right"/>
    </xf>
    <xf numFmtId="173" fontId="19" fillId="0" borderId="0" xfId="5" applyNumberFormat="1" applyFont="1" applyAlignment="1" applyProtection="1">
      <alignment horizontal="right"/>
    </xf>
    <xf numFmtId="173" fontId="20" fillId="8" borderId="0" xfId="7" applyNumberFormat="1" applyFont="1" applyAlignment="1" applyProtection="1">
      <alignment horizontal="right"/>
    </xf>
    <xf numFmtId="173" fontId="21" fillId="9" borderId="0" xfId="8" applyNumberFormat="1" applyFont="1" applyAlignment="1" applyProtection="1">
      <alignment horizontal="right"/>
    </xf>
    <xf numFmtId="173" fontId="22" fillId="7" borderId="0" xfId="6" applyNumberFormat="1" applyFont="1" applyAlignment="1" applyProtection="1">
      <alignment horizontal="right"/>
    </xf>
    <xf numFmtId="9" fontId="4" fillId="0" borderId="0" xfId="3" applyNumberFormat="1" applyAlignment="1" applyProtection="1">
      <alignment horizontal="right"/>
      <protection locked="0"/>
    </xf>
    <xf numFmtId="44" fontId="4" fillId="0" borderId="0" xfId="3" applyNumberFormat="1" applyAlignment="1" applyProtection="1">
      <alignment horizontal="right"/>
    </xf>
    <xf numFmtId="4" fontId="4" fillId="0" borderId="0" xfId="3" applyNumberFormat="1" applyAlignment="1" applyProtection="1">
      <alignment horizontal="right"/>
    </xf>
    <xf numFmtId="175" fontId="13" fillId="0" borderId="0" xfId="3" applyNumberFormat="1" applyFont="1" applyAlignment="1" applyProtection="1">
      <alignment horizontal="right"/>
    </xf>
    <xf numFmtId="0" fontId="4" fillId="0" borderId="0" xfId="3" applyAlignment="1" applyProtection="1">
      <alignment horizontal="right"/>
      <protection locked="0"/>
    </xf>
    <xf numFmtId="0" fontId="4" fillId="0" borderId="0" xfId="3" applyFont="1" applyAlignment="1" applyProtection="1">
      <alignment horizontal="right"/>
    </xf>
    <xf numFmtId="167" fontId="4" fillId="0" borderId="0" xfId="3" applyNumberFormat="1" applyAlignment="1" applyProtection="1">
      <alignment horizontal="right"/>
    </xf>
    <xf numFmtId="176" fontId="14" fillId="0" borderId="0" xfId="3" applyNumberFormat="1" applyFont="1" applyProtection="1">
      <protection locked="0"/>
    </xf>
    <xf numFmtId="0" fontId="3" fillId="0" borderId="0" xfId="3" applyFont="1" applyAlignment="1" applyProtection="1">
      <alignment horizontal="right"/>
    </xf>
    <xf numFmtId="171" fontId="13" fillId="0" borderId="0" xfId="3" applyNumberFormat="1" applyFont="1" applyAlignment="1" applyProtection="1">
      <alignment horizontal="right"/>
    </xf>
    <xf numFmtId="0" fontId="3" fillId="0" borderId="0" xfId="3" applyFont="1" applyAlignment="1" applyProtection="1">
      <alignment horizontal="right"/>
      <protection locked="0"/>
    </xf>
    <xf numFmtId="171" fontId="14" fillId="0" borderId="0" xfId="3" applyNumberFormat="1" applyFont="1" applyProtection="1">
      <protection locked="0"/>
    </xf>
    <xf numFmtId="177" fontId="4" fillId="0" borderId="0" xfId="3" applyNumberFormat="1" applyAlignment="1" applyProtection="1">
      <alignment horizontal="right"/>
    </xf>
    <xf numFmtId="0" fontId="23" fillId="0" borderId="0" xfId="3" applyFont="1" applyAlignment="1" applyProtection="1">
      <alignment horizontal="right"/>
    </xf>
    <xf numFmtId="175" fontId="23" fillId="0" borderId="0" xfId="3" applyNumberFormat="1" applyFont="1" applyAlignment="1" applyProtection="1">
      <alignment horizontal="right"/>
      <protection locked="0"/>
    </xf>
    <xf numFmtId="167" fontId="23" fillId="0" borderId="0" xfId="2" applyNumberFormat="1" applyFont="1" applyAlignment="1" applyProtection="1">
      <alignment horizontal="right"/>
    </xf>
    <xf numFmtId="0" fontId="24" fillId="0" borderId="0" xfId="3" applyFont="1" applyAlignment="1" applyProtection="1">
      <alignment horizontal="right"/>
    </xf>
    <xf numFmtId="167" fontId="24" fillId="0" borderId="0" xfId="2" applyNumberFormat="1" applyFont="1" applyAlignment="1" applyProtection="1">
      <alignment horizontal="right"/>
    </xf>
    <xf numFmtId="0" fontId="2" fillId="0" borderId="0" xfId="3" applyFont="1" applyAlignment="1" applyProtection="1">
      <alignment horizontal="right"/>
    </xf>
    <xf numFmtId="44" fontId="23" fillId="0" borderId="0" xfId="3" applyNumberFormat="1" applyFont="1" applyAlignment="1" applyProtection="1">
      <alignment horizontal="right"/>
    </xf>
    <xf numFmtId="171" fontId="3" fillId="0" borderId="0" xfId="3" applyNumberFormat="1" applyFont="1" applyAlignment="1" applyProtection="1">
      <alignment horizontal="right"/>
      <protection locked="0"/>
    </xf>
    <xf numFmtId="4" fontId="13" fillId="0" borderId="0" xfId="2" applyNumberFormat="1" applyFont="1" applyAlignment="1" applyProtection="1">
      <alignment horizontal="right"/>
    </xf>
    <xf numFmtId="165" fontId="0" fillId="3" borderId="10" xfId="0" applyNumberFormat="1" applyFill="1" applyBorder="1"/>
    <xf numFmtId="165" fontId="0" fillId="2" borderId="10" xfId="0" applyNumberFormat="1" applyFill="1" applyBorder="1"/>
    <xf numFmtId="165" fontId="0" fillId="3" borderId="0" xfId="0" applyNumberFormat="1" applyFill="1"/>
    <xf numFmtId="165" fontId="0" fillId="4" borderId="0" xfId="0" applyNumberFormat="1" applyFill="1"/>
    <xf numFmtId="165" fontId="0" fillId="4" borderId="10" xfId="0" applyNumberFormat="1" applyFill="1" applyBorder="1"/>
    <xf numFmtId="1" fontId="6" fillId="0" borderId="0" xfId="2" applyNumberFormat="1" applyFont="1"/>
    <xf numFmtId="167" fontId="6" fillId="4" borderId="0" xfId="0" applyNumberFormat="1" applyFont="1" applyFill="1" applyBorder="1"/>
    <xf numFmtId="0" fontId="0" fillId="4" borderId="0" xfId="0" applyFill="1" applyBorder="1"/>
    <xf numFmtId="167" fontId="6" fillId="4" borderId="5" xfId="0" applyNumberFormat="1" applyFont="1" applyFill="1" applyBorder="1"/>
    <xf numFmtId="167" fontId="6" fillId="4" borderId="3" xfId="0" applyNumberFormat="1" applyFont="1" applyFill="1" applyBorder="1"/>
    <xf numFmtId="167" fontId="6" fillId="4" borderId="7" xfId="0" applyNumberFormat="1" applyFont="1" applyFill="1" applyBorder="1"/>
    <xf numFmtId="0" fontId="0" fillId="4" borderId="3" xfId="0" applyFill="1" applyBorder="1"/>
    <xf numFmtId="167" fontId="6" fillId="4" borderId="4" xfId="0" applyNumberFormat="1" applyFont="1" applyFill="1" applyBorder="1"/>
    <xf numFmtId="167" fontId="6" fillId="4" borderId="6" xfId="0" applyNumberFormat="1" applyFont="1" applyFill="1" applyBorder="1"/>
    <xf numFmtId="0" fontId="0" fillId="4" borderId="4" xfId="0" applyFill="1" applyBorder="1"/>
    <xf numFmtId="167" fontId="7" fillId="0" borderId="0" xfId="0" applyNumberFormat="1" applyFont="1" applyAlignment="1" applyProtection="1">
      <alignment wrapText="1"/>
    </xf>
    <xf numFmtId="165" fontId="6" fillId="5" borderId="0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0" borderId="0" xfId="0" applyNumberFormat="1"/>
    <xf numFmtId="165" fontId="6" fillId="5" borderId="3" xfId="0" applyNumberFormat="1" applyFont="1" applyFill="1" applyBorder="1" applyProtection="1"/>
    <xf numFmtId="165" fontId="6" fillId="5" borderId="4" xfId="0" applyNumberFormat="1" applyFont="1" applyFill="1" applyBorder="1" applyProtection="1"/>
    <xf numFmtId="165" fontId="6" fillId="5" borderId="5" xfId="0" applyNumberFormat="1" applyFont="1" applyFill="1" applyBorder="1" applyProtection="1"/>
    <xf numFmtId="0" fontId="26" fillId="0" borderId="0" xfId="0" applyFont="1"/>
    <xf numFmtId="0" fontId="26" fillId="0" borderId="0" xfId="0" applyFont="1" applyAlignment="1">
      <alignment wrapText="1"/>
    </xf>
    <xf numFmtId="165" fontId="26" fillId="0" borderId="0" xfId="0" applyNumberFormat="1" applyFont="1"/>
    <xf numFmtId="9" fontId="0" fillId="0" borderId="0" xfId="2" applyFont="1"/>
    <xf numFmtId="9" fontId="26" fillId="0" borderId="0" xfId="2" applyFont="1"/>
    <xf numFmtId="165" fontId="0" fillId="0" borderId="0" xfId="0" applyNumberFormat="1" applyFont="1"/>
    <xf numFmtId="165" fontId="26" fillId="0" borderId="0" xfId="0" applyNumberFormat="1" applyFont="1" applyAlignment="1">
      <alignment wrapText="1"/>
    </xf>
    <xf numFmtId="4" fontId="6" fillId="5" borderId="0" xfId="2" applyNumberFormat="1" applyFont="1" applyFill="1" applyBorder="1"/>
    <xf numFmtId="4" fontId="6" fillId="5" borderId="2" xfId="2" applyNumberFormat="1" applyFont="1" applyFill="1" applyBorder="1"/>
    <xf numFmtId="4" fontId="6" fillId="5" borderId="1" xfId="2" applyNumberFormat="1" applyFont="1" applyFill="1" applyBorder="1"/>
    <xf numFmtId="4" fontId="27" fillId="5" borderId="0" xfId="0" applyNumberFormat="1" applyFont="1" applyFill="1" applyBorder="1"/>
    <xf numFmtId="167" fontId="0" fillId="2" borderId="0" xfId="0" applyNumberFormat="1" applyFill="1" applyBorder="1"/>
    <xf numFmtId="167" fontId="6" fillId="2" borderId="5" xfId="0" applyNumberFormat="1" applyFont="1" applyFill="1" applyBorder="1"/>
    <xf numFmtId="1" fontId="8" fillId="6" borderId="0" xfId="0" applyNumberFormat="1" applyFont="1" applyFill="1" applyBorder="1" applyAlignment="1">
      <alignment horizontal="right"/>
    </xf>
    <xf numFmtId="169" fontId="6" fillId="6" borderId="0" xfId="0" applyNumberFormat="1" applyFont="1" applyFill="1" applyBorder="1" applyAlignment="1">
      <alignment horizontal="right"/>
    </xf>
    <xf numFmtId="167" fontId="6" fillId="5" borderId="0" xfId="0" applyNumberFormat="1" applyFont="1" applyFill="1" applyBorder="1"/>
    <xf numFmtId="165" fontId="6" fillId="4" borderId="0" xfId="0" applyNumberFormat="1" applyFont="1" applyFill="1" applyBorder="1"/>
    <xf numFmtId="167" fontId="6" fillId="0" borderId="0" xfId="0" applyNumberFormat="1" applyFont="1" applyBorder="1" applyProtection="1">
      <protection locked="0"/>
    </xf>
    <xf numFmtId="3" fontId="6" fillId="0" borderId="0" xfId="0" applyNumberFormat="1" applyFont="1" applyBorder="1" applyProtection="1">
      <protection locked="0"/>
    </xf>
    <xf numFmtId="165" fontId="6" fillId="4" borderId="0" xfId="0" applyNumberFormat="1" applyFont="1" applyFill="1" applyBorder="1" applyProtection="1"/>
    <xf numFmtId="165" fontId="6" fillId="5" borderId="0" xfId="0" applyNumberFormat="1" applyFont="1" applyFill="1" applyBorder="1"/>
    <xf numFmtId="165" fontId="6" fillId="2" borderId="0" xfId="0" applyNumberFormat="1" applyFont="1" applyFill="1" applyBorder="1"/>
    <xf numFmtId="165" fontId="6" fillId="3" borderId="0" xfId="0" applyNumberFormat="1" applyFont="1" applyFill="1" applyBorder="1"/>
    <xf numFmtId="1" fontId="6" fillId="0" borderId="0" xfId="2" applyNumberFormat="1" applyFont="1" applyBorder="1"/>
    <xf numFmtId="0" fontId="6" fillId="0" borderId="0" xfId="0" applyFont="1" applyBorder="1"/>
    <xf numFmtId="165" fontId="7" fillId="5" borderId="16" xfId="0" applyNumberFormat="1" applyFont="1" applyFill="1" applyBorder="1" applyAlignment="1">
      <alignment horizontal="right" wrapText="1"/>
    </xf>
    <xf numFmtId="4" fontId="7" fillId="5" borderId="16" xfId="0" applyNumberFormat="1" applyFont="1" applyFill="1" applyBorder="1" applyAlignment="1">
      <alignment horizontal="right" wrapText="1"/>
    </xf>
    <xf numFmtId="166" fontId="7" fillId="5" borderId="13" xfId="0" applyNumberFormat="1" applyFont="1" applyFill="1" applyBorder="1" applyAlignment="1">
      <alignment horizontal="right" wrapText="1"/>
    </xf>
    <xf numFmtId="167" fontId="7" fillId="5" borderId="16" xfId="0" applyNumberFormat="1" applyFont="1" applyFill="1" applyBorder="1" applyAlignment="1">
      <alignment horizontal="right" wrapText="1"/>
    </xf>
    <xf numFmtId="167" fontId="7" fillId="5" borderId="14" xfId="0" applyNumberFormat="1" applyFont="1" applyFill="1" applyBorder="1" applyAlignment="1">
      <alignment horizontal="right" wrapText="1"/>
    </xf>
    <xf numFmtId="166" fontId="7" fillId="5" borderId="14" xfId="0" applyNumberFormat="1" applyFont="1" applyFill="1" applyBorder="1" applyAlignment="1">
      <alignment horizontal="right" wrapText="1"/>
    </xf>
    <xf numFmtId="167" fontId="7" fillId="5" borderId="17" xfId="0" applyNumberFormat="1" applyFont="1" applyFill="1" applyBorder="1" applyAlignment="1">
      <alignment horizontal="right" wrapText="1"/>
    </xf>
    <xf numFmtId="167" fontId="7" fillId="5" borderId="13" xfId="0" applyNumberFormat="1" applyFont="1" applyFill="1" applyBorder="1" applyAlignment="1">
      <alignment horizontal="right" wrapText="1"/>
    </xf>
    <xf numFmtId="167" fontId="7" fillId="2" borderId="16" xfId="0" applyNumberFormat="1" applyFont="1" applyFill="1" applyBorder="1" applyAlignment="1">
      <alignment horizontal="right" wrapText="1"/>
    </xf>
    <xf numFmtId="167" fontId="7" fillId="2" borderId="17" xfId="0" applyNumberFormat="1" applyFont="1" applyFill="1" applyBorder="1" applyAlignment="1">
      <alignment horizontal="right" wrapText="1"/>
    </xf>
    <xf numFmtId="167" fontId="7" fillId="3" borderId="17" xfId="0" applyNumberFormat="1" applyFont="1" applyFill="1" applyBorder="1" applyAlignment="1">
      <alignment horizontal="right" wrapText="1"/>
    </xf>
    <xf numFmtId="167" fontId="7" fillId="4" borderId="13" xfId="0" applyNumberFormat="1" applyFont="1" applyFill="1" applyBorder="1" applyAlignment="1">
      <alignment horizontal="right" wrapText="1"/>
    </xf>
    <xf numFmtId="167" fontId="7" fillId="4" borderId="16" xfId="0" applyNumberFormat="1" applyFont="1" applyFill="1" applyBorder="1" applyAlignment="1">
      <alignment horizontal="right" wrapText="1"/>
    </xf>
    <xf numFmtId="167" fontId="7" fillId="4" borderId="14" xfId="0" applyNumberFormat="1" applyFont="1" applyFill="1" applyBorder="1" applyAlignment="1">
      <alignment horizontal="right" wrapText="1"/>
    </xf>
    <xf numFmtId="165" fontId="7" fillId="2" borderId="16" xfId="0" applyNumberFormat="1" applyFont="1" applyFill="1" applyBorder="1" applyAlignment="1">
      <alignment horizontal="right" wrapText="1"/>
    </xf>
    <xf numFmtId="165" fontId="7" fillId="3" borderId="17" xfId="0" applyNumberFormat="1" applyFont="1" applyFill="1" applyBorder="1" applyAlignment="1">
      <alignment horizontal="right" wrapText="1"/>
    </xf>
    <xf numFmtId="167" fontId="7" fillId="3" borderId="16" xfId="0" applyNumberFormat="1" applyFont="1" applyFill="1" applyBorder="1" applyAlignment="1">
      <alignment horizontal="right" wrapText="1"/>
    </xf>
    <xf numFmtId="3" fontId="7" fillId="4" borderId="16" xfId="0" applyNumberFormat="1" applyFont="1" applyFill="1" applyBorder="1" applyAlignment="1">
      <alignment horizontal="right" wrapText="1"/>
    </xf>
    <xf numFmtId="165" fontId="7" fillId="4" borderId="16" xfId="0" applyNumberFormat="1" applyFont="1" applyFill="1" applyBorder="1" applyAlignment="1" applyProtection="1">
      <alignment horizontal="right" wrapText="1"/>
    </xf>
    <xf numFmtId="167" fontId="7" fillId="5" borderId="14" xfId="0" quotePrefix="1" applyNumberFormat="1" applyFont="1" applyFill="1" applyBorder="1" applyAlignment="1">
      <alignment horizontal="right" wrapText="1"/>
    </xf>
    <xf numFmtId="165" fontId="7" fillId="5" borderId="17" xfId="0" applyNumberFormat="1" applyFont="1" applyFill="1" applyBorder="1" applyAlignment="1">
      <alignment horizontal="right" wrapText="1"/>
    </xf>
    <xf numFmtId="165" fontId="7" fillId="2" borderId="16" xfId="0" applyNumberFormat="1" applyFont="1" applyFill="1" applyBorder="1" applyAlignment="1">
      <alignment wrapText="1"/>
    </xf>
    <xf numFmtId="165" fontId="7" fillId="2" borderId="17" xfId="0" applyNumberFormat="1" applyFont="1" applyFill="1" applyBorder="1" applyAlignment="1">
      <alignment wrapText="1"/>
    </xf>
    <xf numFmtId="165" fontId="7" fillId="3" borderId="17" xfId="0" applyNumberFormat="1" applyFont="1" applyFill="1" applyBorder="1" applyAlignment="1">
      <alignment wrapText="1"/>
    </xf>
    <xf numFmtId="165" fontId="7" fillId="3" borderId="16" xfId="0" applyNumberFormat="1" applyFont="1" applyFill="1" applyBorder="1" applyAlignment="1">
      <alignment wrapText="1"/>
    </xf>
    <xf numFmtId="165" fontId="7" fillId="4" borderId="16" xfId="0" applyNumberFormat="1" applyFont="1" applyFill="1" applyBorder="1" applyAlignment="1">
      <alignment wrapText="1"/>
    </xf>
    <xf numFmtId="165" fontId="7" fillId="4" borderId="17" xfId="0" applyNumberFormat="1" applyFont="1" applyFill="1" applyBorder="1" applyAlignment="1">
      <alignment wrapText="1"/>
    </xf>
    <xf numFmtId="0" fontId="6" fillId="0" borderId="16" xfId="0" applyFont="1" applyBorder="1"/>
    <xf numFmtId="178" fontId="6" fillId="0" borderId="0" xfId="0" applyNumberFormat="1" applyFont="1" applyProtection="1"/>
    <xf numFmtId="166" fontId="26" fillId="0" borderId="0" xfId="0" applyNumberFormat="1" applyFont="1"/>
    <xf numFmtId="166" fontId="0" fillId="0" borderId="0" xfId="0" applyNumberFormat="1" applyFont="1"/>
    <xf numFmtId="167" fontId="0" fillId="0" borderId="0" xfId="2" applyNumberFormat="1" applyFont="1"/>
    <xf numFmtId="167" fontId="0" fillId="0" borderId="0" xfId="0" applyNumberFormat="1"/>
    <xf numFmtId="173" fontId="4" fillId="0" borderId="0" xfId="3" applyNumberFormat="1" applyAlignment="1" applyProtection="1">
      <alignment horizontal="right"/>
    </xf>
    <xf numFmtId="170" fontId="13" fillId="0" borderId="0" xfId="3" applyNumberFormat="1" applyFont="1" applyAlignment="1" applyProtection="1">
      <alignment horizontal="right"/>
    </xf>
    <xf numFmtId="0" fontId="1" fillId="0" borderId="0" xfId="3" applyFont="1" applyAlignment="1" applyProtection="1">
      <alignment horizontal="right"/>
    </xf>
    <xf numFmtId="167" fontId="7" fillId="5" borderId="13" xfId="0" applyNumberFormat="1" applyFont="1" applyFill="1" applyBorder="1" applyAlignment="1">
      <alignment horizontal="right" wrapText="1"/>
    </xf>
    <xf numFmtId="167" fontId="7" fillId="5" borderId="14" xfId="0" applyNumberFormat="1" applyFont="1" applyFill="1" applyBorder="1" applyAlignment="1">
      <alignment horizontal="right" wrapText="1"/>
    </xf>
    <xf numFmtId="167" fontId="7" fillId="2" borderId="13" xfId="0" applyNumberFormat="1" applyFont="1" applyFill="1" applyBorder="1" applyAlignment="1">
      <alignment horizontal="right" wrapText="1"/>
    </xf>
    <xf numFmtId="169" fontId="7" fillId="6" borderId="16" xfId="0" applyNumberFormat="1" applyFont="1" applyFill="1" applyBorder="1" applyAlignment="1">
      <alignment horizontal="right"/>
    </xf>
    <xf numFmtId="165" fontId="7" fillId="5" borderId="16" xfId="0" applyNumberFormat="1" applyFont="1" applyFill="1" applyBorder="1" applyAlignment="1">
      <alignment horizontal="right" wrapText="1"/>
    </xf>
    <xf numFmtId="165" fontId="7" fillId="5" borderId="13" xfId="0" applyNumberFormat="1" applyFont="1" applyFill="1" applyBorder="1" applyAlignment="1">
      <alignment horizontal="right" wrapText="1"/>
    </xf>
    <xf numFmtId="165" fontId="6" fillId="10" borderId="0" xfId="0" applyNumberFormat="1" applyFont="1" applyFill="1" applyBorder="1"/>
    <xf numFmtId="165" fontId="6" fillId="0" borderId="0" xfId="0" applyNumberFormat="1" applyFont="1" applyFill="1" applyBorder="1" applyProtection="1">
      <protection locked="0"/>
    </xf>
    <xf numFmtId="165" fontId="6" fillId="0" borderId="2" xfId="0" applyNumberFormat="1" applyFont="1" applyFill="1" applyBorder="1" applyProtection="1">
      <protection locked="0"/>
    </xf>
    <xf numFmtId="167" fontId="6" fillId="10" borderId="0" xfId="0" applyNumberFormat="1" applyFont="1" applyFill="1" applyBorder="1" applyAlignment="1"/>
    <xf numFmtId="167" fontId="0" fillId="10" borderId="0" xfId="0" applyNumberFormat="1" applyFill="1" applyAlignment="1"/>
    <xf numFmtId="165" fontId="6" fillId="10" borderId="0" xfId="0" applyNumberFormat="1" applyFont="1" applyFill="1" applyBorder="1" applyProtection="1"/>
    <xf numFmtId="165" fontId="6" fillId="10" borderId="2" xfId="0" applyNumberFormat="1" applyFont="1" applyFill="1" applyBorder="1" applyProtection="1"/>
    <xf numFmtId="165" fontId="27" fillId="0" borderId="0" xfId="0" applyNumberFormat="1" applyFont="1" applyFill="1" applyBorder="1" applyProtection="1">
      <protection locked="0"/>
    </xf>
    <xf numFmtId="165" fontId="27" fillId="10" borderId="0" xfId="0" applyNumberFormat="1" applyFont="1" applyFill="1" applyBorder="1" applyProtection="1"/>
    <xf numFmtId="165" fontId="27" fillId="0" borderId="1" xfId="0" applyNumberFormat="1" applyFont="1" applyFill="1" applyBorder="1" applyProtection="1">
      <protection locked="0"/>
    </xf>
    <xf numFmtId="165" fontId="27" fillId="10" borderId="1" xfId="0" applyNumberFormat="1" applyFont="1" applyFill="1" applyBorder="1" applyProtection="1"/>
    <xf numFmtId="167" fontId="6" fillId="10" borderId="12" xfId="0" applyNumberFormat="1" applyFont="1" applyFill="1" applyBorder="1" applyAlignment="1"/>
    <xf numFmtId="167" fontId="0" fillId="10" borderId="0" xfId="0" applyNumberFormat="1" applyFill="1" applyBorder="1" applyAlignment="1"/>
    <xf numFmtId="165" fontId="0" fillId="10" borderId="0" xfId="0" applyNumberFormat="1" applyFill="1" applyBorder="1" applyAlignment="1"/>
    <xf numFmtId="167" fontId="6" fillId="10" borderId="3" xfId="0" applyNumberFormat="1" applyFont="1" applyFill="1" applyBorder="1" applyAlignment="1"/>
    <xf numFmtId="167" fontId="6" fillId="10" borderId="5" xfId="0" applyNumberFormat="1" applyFont="1" applyFill="1" applyBorder="1" applyAlignment="1"/>
    <xf numFmtId="167" fontId="0" fillId="10" borderId="3" xfId="0" applyNumberFormat="1" applyFill="1" applyBorder="1" applyAlignment="1"/>
    <xf numFmtId="167" fontId="7" fillId="10" borderId="17" xfId="0" applyNumberFormat="1" applyFont="1" applyFill="1" applyBorder="1" applyAlignment="1">
      <alignment horizontal="right" wrapText="1"/>
    </xf>
    <xf numFmtId="167" fontId="6" fillId="10" borderId="10" xfId="0" applyNumberFormat="1" applyFont="1" applyFill="1" applyBorder="1" applyAlignment="1"/>
    <xf numFmtId="167" fontId="6" fillId="10" borderId="11" xfId="0" applyNumberFormat="1" applyFont="1" applyFill="1" applyBorder="1" applyAlignment="1"/>
    <xf numFmtId="167" fontId="0" fillId="10" borderId="10" xfId="0" applyNumberFormat="1" applyFill="1" applyBorder="1" applyAlignment="1"/>
    <xf numFmtId="167" fontId="27" fillId="10" borderId="10" xfId="0" applyNumberFormat="1" applyFont="1" applyFill="1" applyBorder="1" applyAlignment="1"/>
    <xf numFmtId="167" fontId="27" fillId="10" borderId="12" xfId="0" applyNumberFormat="1" applyFont="1" applyFill="1" applyBorder="1" applyAlignment="1"/>
    <xf numFmtId="167" fontId="11" fillId="10" borderId="17" xfId="0" applyNumberFormat="1" applyFont="1" applyFill="1" applyBorder="1" applyAlignment="1">
      <alignment horizontal="right" wrapText="1"/>
    </xf>
    <xf numFmtId="167" fontId="6" fillId="10" borderId="7" xfId="0" applyNumberFormat="1" applyFont="1" applyFill="1" applyBorder="1" applyAlignment="1"/>
    <xf numFmtId="167" fontId="0" fillId="10" borderId="4" xfId="0" applyNumberFormat="1" applyFill="1" applyBorder="1" applyAlignment="1"/>
    <xf numFmtId="167" fontId="6" fillId="0" borderId="3" xfId="0" applyNumberFormat="1" applyFont="1" applyFill="1" applyBorder="1" applyAlignment="1" applyProtection="1">
      <protection locked="0"/>
    </xf>
    <xf numFmtId="167" fontId="6" fillId="0" borderId="5" xfId="0" applyNumberFormat="1" applyFont="1" applyFill="1" applyBorder="1" applyAlignment="1" applyProtection="1">
      <protection locked="0"/>
    </xf>
    <xf numFmtId="167" fontId="0" fillId="0" borderId="3" xfId="0" applyNumberFormat="1" applyFill="1" applyBorder="1" applyAlignment="1" applyProtection="1">
      <protection locked="0"/>
    </xf>
    <xf numFmtId="167" fontId="7" fillId="10" borderId="13" xfId="0" applyNumberFormat="1" applyFont="1" applyFill="1" applyBorder="1" applyAlignment="1" applyProtection="1">
      <alignment horizontal="right" wrapText="1"/>
    </xf>
    <xf numFmtId="165" fontId="6" fillId="0" borderId="3" xfId="0" applyNumberFormat="1" applyFont="1" applyFill="1" applyBorder="1" applyAlignment="1" applyProtection="1">
      <protection locked="0"/>
    </xf>
    <xf numFmtId="165" fontId="6" fillId="0" borderId="5" xfId="0" applyNumberFormat="1" applyFont="1" applyFill="1" applyBorder="1" applyAlignment="1" applyProtection="1">
      <protection locked="0"/>
    </xf>
    <xf numFmtId="165" fontId="0" fillId="0" borderId="3" xfId="0" applyNumberFormat="1" applyFill="1" applyBorder="1" applyAlignment="1" applyProtection="1">
      <protection locked="0"/>
    </xf>
    <xf numFmtId="165" fontId="6" fillId="10" borderId="3" xfId="0" applyNumberFormat="1" applyFont="1" applyFill="1" applyBorder="1" applyAlignment="1"/>
    <xf numFmtId="165" fontId="6" fillId="10" borderId="5" xfId="0" applyNumberFormat="1" applyFont="1" applyFill="1" applyBorder="1" applyAlignment="1"/>
    <xf numFmtId="165" fontId="0" fillId="10" borderId="3" xfId="0" applyNumberFormat="1" applyFill="1" applyBorder="1" applyAlignment="1"/>
    <xf numFmtId="10" fontId="6" fillId="0" borderId="0" xfId="2" applyNumberFormat="1" applyFont="1" applyBorder="1"/>
    <xf numFmtId="167" fontId="6" fillId="2" borderId="6" xfId="0" applyNumberFormat="1" applyFont="1" applyFill="1" applyBorder="1"/>
    <xf numFmtId="167" fontId="7" fillId="0" borderId="0" xfId="1" applyNumberFormat="1" applyFont="1" applyAlignment="1" applyProtection="1">
      <alignment horizontal="right"/>
    </xf>
    <xf numFmtId="165" fontId="7" fillId="10" borderId="13" xfId="0" applyNumberFormat="1" applyFont="1" applyFill="1" applyBorder="1" applyAlignment="1" applyProtection="1">
      <alignment horizontal="right" wrapText="1"/>
    </xf>
    <xf numFmtId="167" fontId="7" fillId="5" borderId="13" xfId="0" applyNumberFormat="1" applyFont="1" applyFill="1" applyBorder="1" applyAlignment="1">
      <alignment horizontal="right" wrapText="1"/>
    </xf>
    <xf numFmtId="167" fontId="9" fillId="10" borderId="2" xfId="0" applyNumberFormat="1" applyFont="1" applyFill="1" applyBorder="1" applyAlignment="1"/>
    <xf numFmtId="167" fontId="10" fillId="0" borderId="0" xfId="0" applyNumberFormat="1" applyFont="1" applyBorder="1" applyAlignment="1"/>
    <xf numFmtId="167" fontId="10" fillId="0" borderId="1" xfId="0" applyNumberFormat="1" applyFont="1" applyBorder="1" applyAlignment="1"/>
    <xf numFmtId="165" fontId="9" fillId="10" borderId="2" xfId="0" applyNumberFormat="1" applyFont="1" applyFill="1" applyBorder="1" applyAlignment="1"/>
    <xf numFmtId="165" fontId="10" fillId="0" borderId="0" xfId="0" applyNumberFormat="1" applyFont="1" applyBorder="1" applyAlignment="1"/>
    <xf numFmtId="165" fontId="10" fillId="0" borderId="1" xfId="0" applyNumberFormat="1" applyFont="1" applyBorder="1" applyAlignment="1"/>
    <xf numFmtId="167" fontId="9" fillId="10" borderId="0" xfId="0" applyNumberFormat="1" applyFont="1" applyFill="1" applyBorder="1" applyAlignment="1"/>
    <xf numFmtId="165" fontId="7" fillId="10" borderId="13" xfId="0" applyNumberFormat="1" applyFont="1" applyFill="1" applyBorder="1" applyAlignment="1">
      <alignment horizontal="right" wrapText="1"/>
    </xf>
    <xf numFmtId="165" fontId="0" fillId="0" borderId="14" xfId="0" applyNumberFormat="1" applyBorder="1" applyAlignment="1">
      <alignment horizontal="right" wrapText="1"/>
    </xf>
    <xf numFmtId="167" fontId="7" fillId="10" borderId="13" xfId="0" applyNumberFormat="1" applyFont="1" applyFill="1" applyBorder="1" applyAlignment="1">
      <alignment horizontal="right" wrapText="1"/>
    </xf>
    <xf numFmtId="167" fontId="0" fillId="0" borderId="14" xfId="0" applyNumberFormat="1" applyBorder="1" applyAlignment="1">
      <alignment horizontal="right" wrapText="1"/>
    </xf>
    <xf numFmtId="165" fontId="9" fillId="10" borderId="18" xfId="0" applyNumberFormat="1" applyFont="1" applyFill="1" applyBorder="1"/>
    <xf numFmtId="165" fontId="10" fillId="10" borderId="18" xfId="0" applyNumberFormat="1" applyFont="1" applyFill="1" applyBorder="1"/>
    <xf numFmtId="165" fontId="9" fillId="10" borderId="4" xfId="0" applyNumberFormat="1" applyFont="1" applyFill="1" applyBorder="1"/>
    <xf numFmtId="165" fontId="10" fillId="10" borderId="4" xfId="0" applyNumberFormat="1" applyFont="1" applyFill="1" applyBorder="1"/>
    <xf numFmtId="165" fontId="10" fillId="10" borderId="6" xfId="0" applyNumberFormat="1" applyFont="1" applyFill="1" applyBorder="1"/>
    <xf numFmtId="165" fontId="9" fillId="10" borderId="19" xfId="0" applyNumberFormat="1" applyFont="1" applyFill="1" applyBorder="1" applyAlignment="1"/>
    <xf numFmtId="165" fontId="10" fillId="0" borderId="0" xfId="0" applyNumberFormat="1" applyFont="1" applyAlignment="1"/>
    <xf numFmtId="167" fontId="9" fillId="10" borderId="19" xfId="0" applyNumberFormat="1" applyFont="1" applyFill="1" applyBorder="1" applyAlignment="1"/>
    <xf numFmtId="165" fontId="9" fillId="4" borderId="9" xfId="0" applyNumberFormat="1" applyFont="1" applyFill="1" applyBorder="1"/>
    <xf numFmtId="0" fontId="10" fillId="4" borderId="4" xfId="0" applyFont="1" applyFill="1" applyBorder="1"/>
    <xf numFmtId="0" fontId="10" fillId="4" borderId="6" xfId="0" applyFont="1" applyFill="1" applyBorder="1"/>
    <xf numFmtId="167" fontId="9" fillId="4" borderId="0" xfId="0" applyNumberFormat="1" applyFont="1" applyFill="1" applyBorder="1"/>
    <xf numFmtId="167" fontId="10" fillId="4" borderId="0" xfId="0" applyNumberFormat="1" applyFont="1" applyFill="1" applyBorder="1"/>
    <xf numFmtId="167" fontId="10" fillId="4" borderId="1" xfId="0" applyNumberFormat="1" applyFont="1" applyFill="1" applyBorder="1"/>
    <xf numFmtId="167" fontId="9" fillId="4" borderId="4" xfId="0" applyNumberFormat="1" applyFont="1" applyFill="1" applyBorder="1"/>
    <xf numFmtId="167" fontId="10" fillId="4" borderId="4" xfId="0" applyNumberFormat="1" applyFont="1" applyFill="1" applyBorder="1"/>
    <xf numFmtId="167" fontId="10" fillId="4" borderId="6" xfId="0" applyNumberFormat="1" applyFont="1" applyFill="1" applyBorder="1"/>
    <xf numFmtId="167" fontId="9" fillId="5" borderId="9" xfId="0" applyNumberFormat="1" applyFont="1" applyFill="1" applyBorder="1"/>
    <xf numFmtId="0" fontId="10" fillId="5" borderId="4" xfId="0" applyFont="1" applyFill="1" applyBorder="1"/>
    <xf numFmtId="0" fontId="10" fillId="5" borderId="6" xfId="0" applyFont="1" applyFill="1" applyBorder="1"/>
    <xf numFmtId="167" fontId="10" fillId="4" borderId="10" xfId="0" applyNumberFormat="1" applyFont="1" applyFill="1" applyBorder="1"/>
    <xf numFmtId="167" fontId="10" fillId="4" borderId="12" xfId="0" applyNumberFormat="1" applyFont="1" applyFill="1" applyBorder="1"/>
    <xf numFmtId="9" fontId="9" fillId="5" borderId="9" xfId="2" applyFont="1" applyFill="1" applyBorder="1"/>
    <xf numFmtId="9" fontId="9" fillId="5" borderId="4" xfId="2" applyFont="1" applyFill="1" applyBorder="1"/>
    <xf numFmtId="9" fontId="9" fillId="5" borderId="6" xfId="2" applyFont="1" applyFill="1" applyBorder="1"/>
    <xf numFmtId="165" fontId="9" fillId="5" borderId="4" xfId="0" applyNumberFormat="1" applyFont="1" applyFill="1" applyBorder="1"/>
    <xf numFmtId="167" fontId="9" fillId="5" borderId="4" xfId="0" applyNumberFormat="1" applyFont="1" applyFill="1" applyBorder="1"/>
    <xf numFmtId="167" fontId="10" fillId="5" borderId="4" xfId="0" applyNumberFormat="1" applyFont="1" applyFill="1" applyBorder="1"/>
    <xf numFmtId="167" fontId="10" fillId="5" borderId="6" xfId="0" applyNumberFormat="1" applyFont="1" applyFill="1" applyBorder="1"/>
    <xf numFmtId="167" fontId="9" fillId="5" borderId="10" xfId="0" applyNumberFormat="1" applyFont="1" applyFill="1" applyBorder="1"/>
    <xf numFmtId="167" fontId="10" fillId="5" borderId="10" xfId="0" applyNumberFormat="1" applyFont="1" applyFill="1" applyBorder="1"/>
    <xf numFmtId="167" fontId="10" fillId="5" borderId="12" xfId="0" applyNumberFormat="1" applyFont="1" applyFill="1" applyBorder="1"/>
    <xf numFmtId="167" fontId="9" fillId="4" borderId="0" xfId="0" applyNumberFormat="1" applyFont="1" applyFill="1"/>
    <xf numFmtId="167" fontId="10" fillId="4" borderId="0" xfId="0" applyNumberFormat="1" applyFont="1" applyFill="1"/>
    <xf numFmtId="167" fontId="9" fillId="4" borderId="10" xfId="0" applyNumberFormat="1" applyFont="1" applyFill="1" applyBorder="1"/>
    <xf numFmtId="165" fontId="9" fillId="5" borderId="9" xfId="0" applyNumberFormat="1" applyFont="1" applyFill="1" applyBorder="1"/>
    <xf numFmtId="165" fontId="9" fillId="5" borderId="9" xfId="0" applyNumberFormat="1" applyFont="1" applyFill="1" applyBorder="1" applyProtection="1"/>
    <xf numFmtId="165" fontId="9" fillId="5" borderId="4" xfId="0" applyNumberFormat="1" applyFont="1" applyFill="1" applyBorder="1" applyProtection="1"/>
    <xf numFmtId="165" fontId="9" fillId="5" borderId="6" xfId="0" applyNumberFormat="1" applyFont="1" applyFill="1" applyBorder="1" applyProtection="1"/>
    <xf numFmtId="165" fontId="9" fillId="2" borderId="9" xfId="0" applyNumberFormat="1" applyFont="1" applyFill="1" applyBorder="1"/>
    <xf numFmtId="0" fontId="10" fillId="2" borderId="4" xfId="0" applyFont="1" applyFill="1" applyBorder="1"/>
    <xf numFmtId="0" fontId="10" fillId="2" borderId="6" xfId="0" applyFont="1" applyFill="1" applyBorder="1"/>
    <xf numFmtId="165" fontId="9" fillId="3" borderId="9" xfId="0" applyNumberFormat="1" applyFont="1" applyFill="1" applyBorder="1"/>
    <xf numFmtId="0" fontId="10" fillId="3" borderId="4" xfId="0" applyFont="1" applyFill="1" applyBorder="1"/>
    <xf numFmtId="0" fontId="10" fillId="3" borderId="6" xfId="0" applyFont="1" applyFill="1" applyBorder="1"/>
    <xf numFmtId="167" fontId="9" fillId="2" borderId="9" xfId="0" applyNumberFormat="1" applyFont="1" applyFill="1" applyBorder="1" applyAlignment="1"/>
    <xf numFmtId="167" fontId="9" fillId="2" borderId="4" xfId="0" applyNumberFormat="1" applyFont="1" applyFill="1" applyBorder="1" applyAlignment="1"/>
    <xf numFmtId="167" fontId="9" fillId="2" borderId="6" xfId="0" applyNumberFormat="1" applyFont="1" applyFill="1" applyBorder="1" applyAlignment="1"/>
    <xf numFmtId="167" fontId="9" fillId="10" borderId="18" xfId="0" applyNumberFormat="1" applyFont="1" applyFill="1" applyBorder="1" applyAlignment="1"/>
    <xf numFmtId="167" fontId="10" fillId="0" borderId="18" xfId="0" applyNumberFormat="1" applyFont="1" applyBorder="1" applyAlignment="1"/>
    <xf numFmtId="165" fontId="9" fillId="5" borderId="8" xfId="0" applyNumberFormat="1" applyFont="1" applyFill="1" applyBorder="1"/>
    <xf numFmtId="167" fontId="9" fillId="4" borderId="2" xfId="0" applyNumberFormat="1" applyFont="1" applyFill="1" applyBorder="1"/>
    <xf numFmtId="167" fontId="9" fillId="4" borderId="11" xfId="0" applyNumberFormat="1" applyFont="1" applyFill="1" applyBorder="1"/>
    <xf numFmtId="167" fontId="9" fillId="5" borderId="11" xfId="0" applyNumberFormat="1" applyFont="1" applyFill="1" applyBorder="1"/>
    <xf numFmtId="165" fontId="7" fillId="5" borderId="16" xfId="0" applyNumberFormat="1" applyFont="1" applyFill="1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165" fontId="7" fillId="5" borderId="13" xfId="0" applyNumberFormat="1" applyFont="1" applyFill="1" applyBorder="1" applyAlignment="1">
      <alignment horizontal="right" wrapText="1"/>
    </xf>
    <xf numFmtId="165" fontId="7" fillId="5" borderId="14" xfId="0" applyNumberFormat="1" applyFont="1" applyFill="1" applyBorder="1" applyAlignment="1">
      <alignment horizontal="right" wrapText="1"/>
    </xf>
    <xf numFmtId="165" fontId="7" fillId="5" borderId="13" xfId="0" quotePrefix="1" applyNumberFormat="1" applyFont="1" applyFill="1" applyBorder="1" applyAlignment="1">
      <alignment horizontal="right" wrapText="1"/>
    </xf>
    <xf numFmtId="165" fontId="7" fillId="5" borderId="14" xfId="0" quotePrefix="1" applyNumberFormat="1" applyFont="1" applyFill="1" applyBorder="1" applyAlignment="1">
      <alignment horizontal="right" wrapText="1"/>
    </xf>
    <xf numFmtId="165" fontId="7" fillId="2" borderId="13" xfId="0" applyNumberFormat="1" applyFont="1" applyFill="1" applyBorder="1" applyAlignment="1">
      <alignment horizontal="right" wrapText="1"/>
    </xf>
    <xf numFmtId="165" fontId="7" fillId="2" borderId="14" xfId="0" applyNumberFormat="1" applyFont="1" applyFill="1" applyBorder="1" applyAlignment="1">
      <alignment horizontal="right" wrapText="1"/>
    </xf>
    <xf numFmtId="165" fontId="7" fillId="3" borderId="13" xfId="0" applyNumberFormat="1" applyFont="1" applyFill="1" applyBorder="1" applyAlignment="1">
      <alignment horizontal="right" wrapText="1"/>
    </xf>
    <xf numFmtId="165" fontId="7" fillId="3" borderId="14" xfId="0" applyNumberFormat="1" applyFont="1" applyFill="1" applyBorder="1" applyAlignment="1">
      <alignment horizontal="right" wrapText="1"/>
    </xf>
    <xf numFmtId="165" fontId="7" fillId="4" borderId="13" xfId="0" applyNumberFormat="1" applyFont="1" applyFill="1" applyBorder="1" applyAlignment="1">
      <alignment horizontal="right" wrapText="1"/>
    </xf>
    <xf numFmtId="165" fontId="7" fillId="4" borderId="14" xfId="0" applyNumberFormat="1" applyFont="1" applyFill="1" applyBorder="1" applyAlignment="1">
      <alignment horizontal="right" wrapText="1"/>
    </xf>
    <xf numFmtId="165" fontId="7" fillId="5" borderId="13" xfId="0" applyNumberFormat="1" applyFont="1" applyFill="1" applyBorder="1" applyAlignment="1" applyProtection="1">
      <alignment horizontal="right" wrapText="1"/>
    </xf>
    <xf numFmtId="165" fontId="7" fillId="5" borderId="14" xfId="0" applyNumberFormat="1" applyFont="1" applyFill="1" applyBorder="1" applyAlignment="1" applyProtection="1">
      <alignment horizontal="right" wrapText="1"/>
    </xf>
    <xf numFmtId="165" fontId="7" fillId="10" borderId="13" xfId="0" applyNumberFormat="1" applyFont="1" applyFill="1" applyBorder="1" applyAlignment="1" applyProtection="1">
      <alignment horizontal="right" wrapText="1"/>
    </xf>
    <xf numFmtId="165" fontId="0" fillId="10" borderId="16" xfId="0" applyNumberFormat="1" applyFill="1" applyBorder="1" applyAlignment="1">
      <alignment horizontal="right" wrapText="1"/>
    </xf>
    <xf numFmtId="165" fontId="0" fillId="10" borderId="14" xfId="0" applyNumberFormat="1" applyFill="1" applyBorder="1" applyAlignment="1">
      <alignment horizontal="right" wrapText="1"/>
    </xf>
    <xf numFmtId="165" fontId="9" fillId="2" borderId="4" xfId="0" applyNumberFormat="1" applyFont="1" applyFill="1" applyBorder="1"/>
    <xf numFmtId="165" fontId="9" fillId="3" borderId="4" xfId="0" applyNumberFormat="1" applyFont="1" applyFill="1" applyBorder="1"/>
    <xf numFmtId="165" fontId="9" fillId="4" borderId="4" xfId="0" applyNumberFormat="1" applyFont="1" applyFill="1" applyBorder="1"/>
    <xf numFmtId="165" fontId="9" fillId="5" borderId="15" xfId="0" applyNumberFormat="1" applyFont="1" applyFill="1" applyBorder="1" applyProtection="1"/>
    <xf numFmtId="165" fontId="9" fillId="10" borderId="15" xfId="0" applyNumberFormat="1" applyFont="1" applyFill="1" applyBorder="1"/>
    <xf numFmtId="167" fontId="7" fillId="5" borderId="13" xfId="0" applyNumberFormat="1" applyFont="1" applyFill="1" applyBorder="1" applyAlignment="1">
      <alignment horizontal="right" wrapText="1"/>
    </xf>
    <xf numFmtId="167" fontId="7" fillId="5" borderId="14" xfId="0" applyNumberFormat="1" applyFont="1" applyFill="1" applyBorder="1" applyAlignment="1">
      <alignment horizontal="right" wrapText="1"/>
    </xf>
    <xf numFmtId="167" fontId="7" fillId="4" borderId="16" xfId="0" applyNumberFormat="1" applyFont="1" applyFill="1" applyBorder="1" applyAlignment="1">
      <alignment horizontal="right" wrapText="1"/>
    </xf>
    <xf numFmtId="167" fontId="7" fillId="2" borderId="13" xfId="0" applyNumberFormat="1" applyFont="1" applyFill="1" applyBorder="1" applyAlignment="1">
      <alignment horizontal="right" wrapText="1"/>
    </xf>
    <xf numFmtId="167" fontId="9" fillId="2" borderId="15" xfId="0" applyNumberFormat="1" applyFont="1" applyFill="1" applyBorder="1" applyAlignment="1"/>
    <xf numFmtId="167" fontId="10" fillId="0" borderId="0" xfId="0" applyNumberFormat="1" applyFont="1" applyAlignment="1"/>
    <xf numFmtId="1" fontId="9" fillId="6" borderId="0" xfId="0" quotePrefix="1" applyNumberFormat="1" applyFont="1" applyFill="1" applyBorder="1" applyAlignment="1">
      <alignment horizontal="right" vertical="center" textRotation="90"/>
    </xf>
    <xf numFmtId="1" fontId="10" fillId="0" borderId="0" xfId="0" applyNumberFormat="1" applyFont="1" applyBorder="1" applyAlignment="1">
      <alignment horizontal="right" vertical="center" textRotation="90"/>
    </xf>
    <xf numFmtId="1" fontId="10" fillId="0" borderId="1" xfId="0" applyNumberFormat="1" applyFont="1" applyBorder="1" applyAlignment="1">
      <alignment horizontal="right" vertical="center" textRotation="90"/>
    </xf>
    <xf numFmtId="165" fontId="7" fillId="0" borderId="0" xfId="1" applyNumberFormat="1" applyFont="1" applyAlignment="1" applyProtection="1">
      <alignment horizontal="right"/>
    </xf>
    <xf numFmtId="0" fontId="0" fillId="0" borderId="0" xfId="0" applyAlignment="1">
      <alignment horizontal="right"/>
    </xf>
  </cellXfs>
  <cellStyles count="9">
    <cellStyle name="Gut" xfId="6" builtinId="26"/>
    <cellStyle name="Neutral" xfId="8" builtinId="28"/>
    <cellStyle name="Prozent" xfId="2" builtinId="5"/>
    <cellStyle name="Prozent 2" xfId="5" xr:uid="{72C474E2-12AC-C24B-A3B9-6E0577A4F571}"/>
    <cellStyle name="Schlecht" xfId="7" builtinId="27"/>
    <cellStyle name="Standard" xfId="0" builtinId="0"/>
    <cellStyle name="Standard 2" xfId="3" xr:uid="{B6B7BA9A-5708-654E-AC70-0E2E5950D272}"/>
    <cellStyle name="Währung" xfId="1" builtinId="4"/>
    <cellStyle name="Währung 2" xfId="4" xr:uid="{C71623B3-4123-7C43-8CB1-F6704B39931F}"/>
  </cellStyles>
  <dxfs count="89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colors>
    <mruColors>
      <color rgb="FFFBDD00"/>
      <color rgb="FFFF2600"/>
      <color rgb="FFAB7942"/>
      <color rgb="FFF7F5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2"/>
          <c:tx>
            <c:strRef>
              <c:f>Monatsdaten!$BK$1</c:f>
              <c:strCache>
                <c:ptCount val="1"/>
                <c:pt idx="0">
                  <c:v>Eigen, Heiz &amp; Mobilität Differenz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numRef>
              <c:f>Monatsdaten!$B$2:$B$301</c:f>
              <c:numCache>
                <c:formatCode>[$-407]mmmm\ yy;@</c:formatCode>
                <c:ptCount val="300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  <c:pt idx="48">
                  <c:v>44835</c:v>
                </c:pt>
                <c:pt idx="49">
                  <c:v>44866</c:v>
                </c:pt>
                <c:pt idx="50">
                  <c:v>44896</c:v>
                </c:pt>
                <c:pt idx="51">
                  <c:v>44927</c:v>
                </c:pt>
                <c:pt idx="52">
                  <c:v>44958</c:v>
                </c:pt>
                <c:pt idx="53">
                  <c:v>44986</c:v>
                </c:pt>
                <c:pt idx="54">
                  <c:v>45017</c:v>
                </c:pt>
                <c:pt idx="55">
                  <c:v>45047</c:v>
                </c:pt>
                <c:pt idx="56">
                  <c:v>45078</c:v>
                </c:pt>
                <c:pt idx="57">
                  <c:v>45108</c:v>
                </c:pt>
                <c:pt idx="58">
                  <c:v>45139</c:v>
                </c:pt>
                <c:pt idx="59">
                  <c:v>45170</c:v>
                </c:pt>
                <c:pt idx="60">
                  <c:v>45200</c:v>
                </c:pt>
                <c:pt idx="61">
                  <c:v>45231</c:v>
                </c:pt>
                <c:pt idx="62">
                  <c:v>45261</c:v>
                </c:pt>
                <c:pt idx="63">
                  <c:v>45292</c:v>
                </c:pt>
                <c:pt idx="64">
                  <c:v>45323</c:v>
                </c:pt>
                <c:pt idx="65">
                  <c:v>45352</c:v>
                </c:pt>
                <c:pt idx="66">
                  <c:v>45383</c:v>
                </c:pt>
                <c:pt idx="67">
                  <c:v>45413</c:v>
                </c:pt>
                <c:pt idx="68">
                  <c:v>45444</c:v>
                </c:pt>
                <c:pt idx="69">
                  <c:v>45474</c:v>
                </c:pt>
                <c:pt idx="70">
                  <c:v>45505</c:v>
                </c:pt>
                <c:pt idx="71">
                  <c:v>45536</c:v>
                </c:pt>
                <c:pt idx="72">
                  <c:v>45566</c:v>
                </c:pt>
                <c:pt idx="73">
                  <c:v>45597</c:v>
                </c:pt>
                <c:pt idx="74">
                  <c:v>45627</c:v>
                </c:pt>
                <c:pt idx="75">
                  <c:v>45658</c:v>
                </c:pt>
                <c:pt idx="76">
                  <c:v>45689</c:v>
                </c:pt>
                <c:pt idx="77">
                  <c:v>45717</c:v>
                </c:pt>
                <c:pt idx="78">
                  <c:v>45748</c:v>
                </c:pt>
                <c:pt idx="79">
                  <c:v>45778</c:v>
                </c:pt>
                <c:pt idx="80">
                  <c:v>45809</c:v>
                </c:pt>
                <c:pt idx="81">
                  <c:v>45839</c:v>
                </c:pt>
                <c:pt idx="82">
                  <c:v>45870</c:v>
                </c:pt>
                <c:pt idx="83">
                  <c:v>45901</c:v>
                </c:pt>
                <c:pt idx="84">
                  <c:v>45931</c:v>
                </c:pt>
                <c:pt idx="85">
                  <c:v>45962</c:v>
                </c:pt>
                <c:pt idx="86">
                  <c:v>45992</c:v>
                </c:pt>
                <c:pt idx="87">
                  <c:v>46023</c:v>
                </c:pt>
                <c:pt idx="88">
                  <c:v>46054</c:v>
                </c:pt>
                <c:pt idx="89">
                  <c:v>46082</c:v>
                </c:pt>
                <c:pt idx="90">
                  <c:v>46113</c:v>
                </c:pt>
                <c:pt idx="91">
                  <c:v>46143</c:v>
                </c:pt>
                <c:pt idx="92">
                  <c:v>46174</c:v>
                </c:pt>
                <c:pt idx="93">
                  <c:v>46204</c:v>
                </c:pt>
                <c:pt idx="94">
                  <c:v>46235</c:v>
                </c:pt>
                <c:pt idx="95">
                  <c:v>46266</c:v>
                </c:pt>
                <c:pt idx="96">
                  <c:v>46296</c:v>
                </c:pt>
                <c:pt idx="97">
                  <c:v>46327</c:v>
                </c:pt>
                <c:pt idx="98">
                  <c:v>46357</c:v>
                </c:pt>
                <c:pt idx="99">
                  <c:v>46388</c:v>
                </c:pt>
                <c:pt idx="100">
                  <c:v>46419</c:v>
                </c:pt>
                <c:pt idx="101">
                  <c:v>46447</c:v>
                </c:pt>
                <c:pt idx="102">
                  <c:v>46478</c:v>
                </c:pt>
                <c:pt idx="103">
                  <c:v>46508</c:v>
                </c:pt>
                <c:pt idx="104">
                  <c:v>46539</c:v>
                </c:pt>
                <c:pt idx="105">
                  <c:v>46569</c:v>
                </c:pt>
                <c:pt idx="106">
                  <c:v>46600</c:v>
                </c:pt>
                <c:pt idx="107">
                  <c:v>46631</c:v>
                </c:pt>
                <c:pt idx="108">
                  <c:v>46661</c:v>
                </c:pt>
                <c:pt idx="109">
                  <c:v>46692</c:v>
                </c:pt>
                <c:pt idx="110">
                  <c:v>46722</c:v>
                </c:pt>
                <c:pt idx="111">
                  <c:v>46753</c:v>
                </c:pt>
                <c:pt idx="112">
                  <c:v>46784</c:v>
                </c:pt>
                <c:pt idx="113">
                  <c:v>46813</c:v>
                </c:pt>
                <c:pt idx="114">
                  <c:v>46844</c:v>
                </c:pt>
                <c:pt idx="115">
                  <c:v>46874</c:v>
                </c:pt>
                <c:pt idx="116">
                  <c:v>46905</c:v>
                </c:pt>
                <c:pt idx="117">
                  <c:v>46935</c:v>
                </c:pt>
                <c:pt idx="118">
                  <c:v>46966</c:v>
                </c:pt>
                <c:pt idx="119">
                  <c:v>46997</c:v>
                </c:pt>
                <c:pt idx="120">
                  <c:v>47027</c:v>
                </c:pt>
                <c:pt idx="121">
                  <c:v>47058</c:v>
                </c:pt>
                <c:pt idx="122">
                  <c:v>47088</c:v>
                </c:pt>
                <c:pt idx="123">
                  <c:v>47119</c:v>
                </c:pt>
                <c:pt idx="124">
                  <c:v>47150</c:v>
                </c:pt>
                <c:pt idx="125">
                  <c:v>47178</c:v>
                </c:pt>
                <c:pt idx="126">
                  <c:v>47209</c:v>
                </c:pt>
                <c:pt idx="127">
                  <c:v>47239</c:v>
                </c:pt>
                <c:pt idx="128">
                  <c:v>47270</c:v>
                </c:pt>
                <c:pt idx="129">
                  <c:v>47300</c:v>
                </c:pt>
                <c:pt idx="130">
                  <c:v>47331</c:v>
                </c:pt>
                <c:pt idx="131">
                  <c:v>47362</c:v>
                </c:pt>
                <c:pt idx="132">
                  <c:v>47392</c:v>
                </c:pt>
                <c:pt idx="133">
                  <c:v>47423</c:v>
                </c:pt>
                <c:pt idx="134">
                  <c:v>47453</c:v>
                </c:pt>
                <c:pt idx="135">
                  <c:v>47484</c:v>
                </c:pt>
                <c:pt idx="136">
                  <c:v>47515</c:v>
                </c:pt>
                <c:pt idx="137">
                  <c:v>47543</c:v>
                </c:pt>
                <c:pt idx="138">
                  <c:v>47574</c:v>
                </c:pt>
                <c:pt idx="139">
                  <c:v>47604</c:v>
                </c:pt>
                <c:pt idx="140">
                  <c:v>47635</c:v>
                </c:pt>
                <c:pt idx="141">
                  <c:v>47665</c:v>
                </c:pt>
                <c:pt idx="142">
                  <c:v>47696</c:v>
                </c:pt>
                <c:pt idx="143">
                  <c:v>47727</c:v>
                </c:pt>
                <c:pt idx="144">
                  <c:v>47757</c:v>
                </c:pt>
                <c:pt idx="145">
                  <c:v>47788</c:v>
                </c:pt>
                <c:pt idx="146">
                  <c:v>47818</c:v>
                </c:pt>
                <c:pt idx="147">
                  <c:v>47849</c:v>
                </c:pt>
                <c:pt idx="148">
                  <c:v>47880</c:v>
                </c:pt>
                <c:pt idx="149">
                  <c:v>47908</c:v>
                </c:pt>
                <c:pt idx="150">
                  <c:v>47939</c:v>
                </c:pt>
                <c:pt idx="151">
                  <c:v>47969</c:v>
                </c:pt>
                <c:pt idx="152">
                  <c:v>48000</c:v>
                </c:pt>
                <c:pt idx="153">
                  <c:v>48030</c:v>
                </c:pt>
                <c:pt idx="154">
                  <c:v>48061</c:v>
                </c:pt>
                <c:pt idx="155">
                  <c:v>48092</c:v>
                </c:pt>
                <c:pt idx="156">
                  <c:v>48122</c:v>
                </c:pt>
                <c:pt idx="157">
                  <c:v>48153</c:v>
                </c:pt>
                <c:pt idx="158">
                  <c:v>48183</c:v>
                </c:pt>
                <c:pt idx="159">
                  <c:v>48214</c:v>
                </c:pt>
                <c:pt idx="160">
                  <c:v>48245</c:v>
                </c:pt>
                <c:pt idx="161">
                  <c:v>48274</c:v>
                </c:pt>
                <c:pt idx="162">
                  <c:v>48305</c:v>
                </c:pt>
                <c:pt idx="163">
                  <c:v>48335</c:v>
                </c:pt>
                <c:pt idx="164">
                  <c:v>48366</c:v>
                </c:pt>
                <c:pt idx="165">
                  <c:v>48396</c:v>
                </c:pt>
                <c:pt idx="166">
                  <c:v>48427</c:v>
                </c:pt>
                <c:pt idx="167">
                  <c:v>48458</c:v>
                </c:pt>
                <c:pt idx="168">
                  <c:v>48488</c:v>
                </c:pt>
                <c:pt idx="169">
                  <c:v>48519</c:v>
                </c:pt>
                <c:pt idx="170">
                  <c:v>48549</c:v>
                </c:pt>
                <c:pt idx="171">
                  <c:v>48580</c:v>
                </c:pt>
                <c:pt idx="172">
                  <c:v>48611</c:v>
                </c:pt>
                <c:pt idx="173">
                  <c:v>48639</c:v>
                </c:pt>
                <c:pt idx="174">
                  <c:v>48670</c:v>
                </c:pt>
                <c:pt idx="175">
                  <c:v>48700</c:v>
                </c:pt>
                <c:pt idx="176">
                  <c:v>48731</c:v>
                </c:pt>
                <c:pt idx="177">
                  <c:v>48761</c:v>
                </c:pt>
                <c:pt idx="178">
                  <c:v>48792</c:v>
                </c:pt>
                <c:pt idx="179">
                  <c:v>48823</c:v>
                </c:pt>
                <c:pt idx="180">
                  <c:v>48853</c:v>
                </c:pt>
                <c:pt idx="181">
                  <c:v>48884</c:v>
                </c:pt>
                <c:pt idx="182">
                  <c:v>48914</c:v>
                </c:pt>
                <c:pt idx="183">
                  <c:v>48945</c:v>
                </c:pt>
                <c:pt idx="184">
                  <c:v>48976</c:v>
                </c:pt>
                <c:pt idx="185">
                  <c:v>49004</c:v>
                </c:pt>
                <c:pt idx="186">
                  <c:v>49035</c:v>
                </c:pt>
                <c:pt idx="187">
                  <c:v>49065</c:v>
                </c:pt>
                <c:pt idx="188">
                  <c:v>49096</c:v>
                </c:pt>
                <c:pt idx="189">
                  <c:v>49126</c:v>
                </c:pt>
                <c:pt idx="190">
                  <c:v>49157</c:v>
                </c:pt>
                <c:pt idx="191">
                  <c:v>49188</c:v>
                </c:pt>
                <c:pt idx="192">
                  <c:v>49218</c:v>
                </c:pt>
                <c:pt idx="193">
                  <c:v>49249</c:v>
                </c:pt>
                <c:pt idx="194">
                  <c:v>49279</c:v>
                </c:pt>
                <c:pt idx="195">
                  <c:v>49310</c:v>
                </c:pt>
                <c:pt idx="196">
                  <c:v>49341</c:v>
                </c:pt>
                <c:pt idx="197">
                  <c:v>49369</c:v>
                </c:pt>
                <c:pt idx="198">
                  <c:v>49400</c:v>
                </c:pt>
                <c:pt idx="199">
                  <c:v>49430</c:v>
                </c:pt>
                <c:pt idx="200">
                  <c:v>49461</c:v>
                </c:pt>
                <c:pt idx="201">
                  <c:v>49491</c:v>
                </c:pt>
                <c:pt idx="202">
                  <c:v>49522</c:v>
                </c:pt>
                <c:pt idx="203">
                  <c:v>49553</c:v>
                </c:pt>
                <c:pt idx="204">
                  <c:v>49583</c:v>
                </c:pt>
                <c:pt idx="205">
                  <c:v>49614</c:v>
                </c:pt>
                <c:pt idx="206">
                  <c:v>49644</c:v>
                </c:pt>
                <c:pt idx="207">
                  <c:v>49675</c:v>
                </c:pt>
                <c:pt idx="208">
                  <c:v>49706</c:v>
                </c:pt>
                <c:pt idx="209">
                  <c:v>49735</c:v>
                </c:pt>
                <c:pt idx="210">
                  <c:v>49766</c:v>
                </c:pt>
                <c:pt idx="211">
                  <c:v>49796</c:v>
                </c:pt>
                <c:pt idx="212">
                  <c:v>49827</c:v>
                </c:pt>
                <c:pt idx="213">
                  <c:v>49857</c:v>
                </c:pt>
                <c:pt idx="214">
                  <c:v>49888</c:v>
                </c:pt>
                <c:pt idx="215">
                  <c:v>49919</c:v>
                </c:pt>
                <c:pt idx="216">
                  <c:v>49949</c:v>
                </c:pt>
                <c:pt idx="217">
                  <c:v>49980</c:v>
                </c:pt>
                <c:pt idx="218">
                  <c:v>50010</c:v>
                </c:pt>
                <c:pt idx="219">
                  <c:v>50041</c:v>
                </c:pt>
                <c:pt idx="220">
                  <c:v>50072</c:v>
                </c:pt>
                <c:pt idx="221">
                  <c:v>50100</c:v>
                </c:pt>
                <c:pt idx="222">
                  <c:v>50131</c:v>
                </c:pt>
                <c:pt idx="223">
                  <c:v>50161</c:v>
                </c:pt>
                <c:pt idx="224">
                  <c:v>50192</c:v>
                </c:pt>
                <c:pt idx="225">
                  <c:v>50222</c:v>
                </c:pt>
                <c:pt idx="226">
                  <c:v>50253</c:v>
                </c:pt>
                <c:pt idx="227">
                  <c:v>50284</c:v>
                </c:pt>
                <c:pt idx="228">
                  <c:v>50314</c:v>
                </c:pt>
                <c:pt idx="229">
                  <c:v>50345</c:v>
                </c:pt>
                <c:pt idx="230">
                  <c:v>50375</c:v>
                </c:pt>
                <c:pt idx="231">
                  <c:v>50406</c:v>
                </c:pt>
                <c:pt idx="232">
                  <c:v>50437</c:v>
                </c:pt>
                <c:pt idx="233">
                  <c:v>50465</c:v>
                </c:pt>
                <c:pt idx="234">
                  <c:v>50496</c:v>
                </c:pt>
                <c:pt idx="235">
                  <c:v>50526</c:v>
                </c:pt>
                <c:pt idx="236">
                  <c:v>50557</c:v>
                </c:pt>
                <c:pt idx="237">
                  <c:v>50587</c:v>
                </c:pt>
                <c:pt idx="238">
                  <c:v>50618</c:v>
                </c:pt>
                <c:pt idx="239">
                  <c:v>50649</c:v>
                </c:pt>
                <c:pt idx="240">
                  <c:v>50679</c:v>
                </c:pt>
                <c:pt idx="241">
                  <c:v>50710</c:v>
                </c:pt>
                <c:pt idx="242">
                  <c:v>50740</c:v>
                </c:pt>
                <c:pt idx="243">
                  <c:v>50771</c:v>
                </c:pt>
                <c:pt idx="244">
                  <c:v>50802</c:v>
                </c:pt>
                <c:pt idx="245">
                  <c:v>50830</c:v>
                </c:pt>
                <c:pt idx="246">
                  <c:v>50861</c:v>
                </c:pt>
                <c:pt idx="247">
                  <c:v>50891</c:v>
                </c:pt>
                <c:pt idx="248">
                  <c:v>50922</c:v>
                </c:pt>
                <c:pt idx="249">
                  <c:v>50952</c:v>
                </c:pt>
                <c:pt idx="250">
                  <c:v>50983</c:v>
                </c:pt>
                <c:pt idx="251">
                  <c:v>51014</c:v>
                </c:pt>
                <c:pt idx="252">
                  <c:v>51044</c:v>
                </c:pt>
                <c:pt idx="253">
                  <c:v>51075</c:v>
                </c:pt>
                <c:pt idx="254">
                  <c:v>51105</c:v>
                </c:pt>
                <c:pt idx="255">
                  <c:v>51136</c:v>
                </c:pt>
                <c:pt idx="256">
                  <c:v>51167</c:v>
                </c:pt>
                <c:pt idx="257">
                  <c:v>51196</c:v>
                </c:pt>
                <c:pt idx="258">
                  <c:v>51227</c:v>
                </c:pt>
                <c:pt idx="259">
                  <c:v>51257</c:v>
                </c:pt>
                <c:pt idx="260">
                  <c:v>51288</c:v>
                </c:pt>
                <c:pt idx="261">
                  <c:v>51318</c:v>
                </c:pt>
                <c:pt idx="262">
                  <c:v>51349</c:v>
                </c:pt>
                <c:pt idx="263">
                  <c:v>51380</c:v>
                </c:pt>
                <c:pt idx="264">
                  <c:v>51410</c:v>
                </c:pt>
                <c:pt idx="265">
                  <c:v>51441</c:v>
                </c:pt>
                <c:pt idx="266">
                  <c:v>51471</c:v>
                </c:pt>
                <c:pt idx="267">
                  <c:v>51502</c:v>
                </c:pt>
                <c:pt idx="268">
                  <c:v>51533</c:v>
                </c:pt>
                <c:pt idx="269">
                  <c:v>51561</c:v>
                </c:pt>
                <c:pt idx="270">
                  <c:v>51592</c:v>
                </c:pt>
                <c:pt idx="271">
                  <c:v>51622</c:v>
                </c:pt>
                <c:pt idx="272">
                  <c:v>51653</c:v>
                </c:pt>
                <c:pt idx="273">
                  <c:v>51683</c:v>
                </c:pt>
                <c:pt idx="274">
                  <c:v>51714</c:v>
                </c:pt>
                <c:pt idx="275">
                  <c:v>51745</c:v>
                </c:pt>
                <c:pt idx="276">
                  <c:v>51775</c:v>
                </c:pt>
                <c:pt idx="277">
                  <c:v>51806</c:v>
                </c:pt>
                <c:pt idx="278">
                  <c:v>51836</c:v>
                </c:pt>
                <c:pt idx="279">
                  <c:v>51867</c:v>
                </c:pt>
                <c:pt idx="280">
                  <c:v>51898</c:v>
                </c:pt>
                <c:pt idx="281">
                  <c:v>51926</c:v>
                </c:pt>
                <c:pt idx="282">
                  <c:v>51957</c:v>
                </c:pt>
                <c:pt idx="283">
                  <c:v>51987</c:v>
                </c:pt>
                <c:pt idx="284">
                  <c:v>52018</c:v>
                </c:pt>
                <c:pt idx="285">
                  <c:v>52048</c:v>
                </c:pt>
                <c:pt idx="286">
                  <c:v>52079</c:v>
                </c:pt>
                <c:pt idx="287">
                  <c:v>52110</c:v>
                </c:pt>
                <c:pt idx="288">
                  <c:v>52140</c:v>
                </c:pt>
                <c:pt idx="289">
                  <c:v>52171</c:v>
                </c:pt>
                <c:pt idx="290">
                  <c:v>52201</c:v>
                </c:pt>
                <c:pt idx="291">
                  <c:v>52232</c:v>
                </c:pt>
                <c:pt idx="292">
                  <c:v>52263</c:v>
                </c:pt>
                <c:pt idx="293">
                  <c:v>52291</c:v>
                </c:pt>
                <c:pt idx="294">
                  <c:v>52322</c:v>
                </c:pt>
                <c:pt idx="295">
                  <c:v>52352</c:v>
                </c:pt>
                <c:pt idx="296">
                  <c:v>52383</c:v>
                </c:pt>
                <c:pt idx="297">
                  <c:v>52413</c:v>
                </c:pt>
                <c:pt idx="298">
                  <c:v>52444</c:v>
                </c:pt>
                <c:pt idx="299">
                  <c:v>52475</c:v>
                </c:pt>
              </c:numCache>
            </c:numRef>
          </c:cat>
          <c:val>
            <c:numRef>
              <c:f>Monatsdaten!$BK$2:$BK$301</c:f>
              <c:numCache>
                <c:formatCode>#,##0.00\ "€"</c:formatCode>
                <c:ptCount val="300"/>
                <c:pt idx="0">
                  <c:v>-200.00000000000003</c:v>
                </c:pt>
                <c:pt idx="1">
                  <c:v>-200.00000000000003</c:v>
                </c:pt>
                <c:pt idx="2">
                  <c:v>-200</c:v>
                </c:pt>
                <c:pt idx="3">
                  <c:v>-200</c:v>
                </c:pt>
                <c:pt idx="4">
                  <c:v>-198.11254700000001</c:v>
                </c:pt>
                <c:pt idx="5">
                  <c:v>-191</c:v>
                </c:pt>
                <c:pt idx="6">
                  <c:v>-191</c:v>
                </c:pt>
                <c:pt idx="7">
                  <c:v>-191</c:v>
                </c:pt>
                <c:pt idx="8">
                  <c:v>-191</c:v>
                </c:pt>
                <c:pt idx="9">
                  <c:v>-191</c:v>
                </c:pt>
                <c:pt idx="10">
                  <c:v>-191</c:v>
                </c:pt>
                <c:pt idx="11">
                  <c:v>-191</c:v>
                </c:pt>
                <c:pt idx="12">
                  <c:v>-188</c:v>
                </c:pt>
                <c:pt idx="13">
                  <c:v>-188</c:v>
                </c:pt>
                <c:pt idx="14">
                  <c:v>-188</c:v>
                </c:pt>
                <c:pt idx="15">
                  <c:v>-188</c:v>
                </c:pt>
                <c:pt idx="16">
                  <c:v>-188</c:v>
                </c:pt>
                <c:pt idx="17">
                  <c:v>-188</c:v>
                </c:pt>
                <c:pt idx="18">
                  <c:v>-188</c:v>
                </c:pt>
                <c:pt idx="19">
                  <c:v>-248.00000000000003</c:v>
                </c:pt>
                <c:pt idx="20">
                  <c:v>-271</c:v>
                </c:pt>
                <c:pt idx="21">
                  <c:v>-271</c:v>
                </c:pt>
                <c:pt idx="22">
                  <c:v>-271</c:v>
                </c:pt>
                <c:pt idx="23">
                  <c:v>-271</c:v>
                </c:pt>
                <c:pt idx="24">
                  <c:v>-271</c:v>
                </c:pt>
                <c:pt idx="25">
                  <c:v>-271</c:v>
                </c:pt>
                <c:pt idx="26">
                  <c:v>-271</c:v>
                </c:pt>
                <c:pt idx="27">
                  <c:v>-271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7-144A-817A-4F118449BDDC}"/>
            </c:ext>
          </c:extLst>
        </c:ser>
        <c:ser>
          <c:idx val="3"/>
          <c:order val="3"/>
          <c:tx>
            <c:strRef>
              <c:f>Monatsdaten!$BO$1</c:f>
              <c:strCache>
                <c:ptCount val="1"/>
                <c:pt idx="0">
                  <c:v>Eigen, Heiz &amp; Mobilität Differenz o. Kosten</c:v>
                </c:pt>
              </c:strCache>
            </c:strRef>
          </c:tx>
          <c:spPr>
            <a:solidFill>
              <a:srgbClr val="FFFF00">
                <a:alpha val="50000"/>
              </a:srgb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val>
            <c:numRef>
              <c:f>Monatsdaten!$BO$2:$BO$301</c:f>
              <c:numCache>
                <c:formatCode>#,##0.00\ "€"</c:formatCode>
                <c:ptCount val="300"/>
                <c:pt idx="0">
                  <c:v>-2.8421709430404007E-14</c:v>
                </c:pt>
                <c:pt idx="1">
                  <c:v>-2.8421709430404007E-14</c:v>
                </c:pt>
                <c:pt idx="2">
                  <c:v>0</c:v>
                </c:pt>
                <c:pt idx="3">
                  <c:v>0</c:v>
                </c:pt>
                <c:pt idx="4">
                  <c:v>1.8874529999999936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11.999999999999972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03-6644-9A6A-E4E3F231E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17504"/>
        <c:axId val="299327488"/>
      </c:barChart>
      <c:lineChart>
        <c:grouping val="standard"/>
        <c:varyColors val="0"/>
        <c:ser>
          <c:idx val="0"/>
          <c:order val="0"/>
          <c:tx>
            <c:strRef>
              <c:f>Monatsdaten!$BM$1</c:f>
              <c:strCache>
                <c:ptCount val="1"/>
                <c:pt idx="0">
                  <c:v>Eigen Gewinn Verlauf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3489-CC4B-AE12-E08D574774E6}"/>
              </c:ext>
            </c:extLst>
          </c:dPt>
          <c:cat>
            <c:numRef>
              <c:f>Monatsdaten!$B$2:$B$301</c:f>
              <c:numCache>
                <c:formatCode>[$-407]mmmm\ yy;@</c:formatCode>
                <c:ptCount val="300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  <c:pt idx="48">
                  <c:v>44835</c:v>
                </c:pt>
                <c:pt idx="49">
                  <c:v>44866</c:v>
                </c:pt>
                <c:pt idx="50">
                  <c:v>44896</c:v>
                </c:pt>
                <c:pt idx="51">
                  <c:v>44927</c:v>
                </c:pt>
                <c:pt idx="52">
                  <c:v>44958</c:v>
                </c:pt>
                <c:pt idx="53">
                  <c:v>44986</c:v>
                </c:pt>
                <c:pt idx="54">
                  <c:v>45017</c:v>
                </c:pt>
                <c:pt idx="55">
                  <c:v>45047</c:v>
                </c:pt>
                <c:pt idx="56">
                  <c:v>45078</c:v>
                </c:pt>
                <c:pt idx="57">
                  <c:v>45108</c:v>
                </c:pt>
                <c:pt idx="58">
                  <c:v>45139</c:v>
                </c:pt>
                <c:pt idx="59">
                  <c:v>45170</c:v>
                </c:pt>
                <c:pt idx="60">
                  <c:v>45200</c:v>
                </c:pt>
                <c:pt idx="61">
                  <c:v>45231</c:v>
                </c:pt>
                <c:pt idx="62">
                  <c:v>45261</c:v>
                </c:pt>
                <c:pt idx="63">
                  <c:v>45292</c:v>
                </c:pt>
                <c:pt idx="64">
                  <c:v>45323</c:v>
                </c:pt>
                <c:pt idx="65">
                  <c:v>45352</c:v>
                </c:pt>
                <c:pt idx="66">
                  <c:v>45383</c:v>
                </c:pt>
                <c:pt idx="67">
                  <c:v>45413</c:v>
                </c:pt>
                <c:pt idx="68">
                  <c:v>45444</c:v>
                </c:pt>
                <c:pt idx="69">
                  <c:v>45474</c:v>
                </c:pt>
                <c:pt idx="70">
                  <c:v>45505</c:v>
                </c:pt>
                <c:pt idx="71">
                  <c:v>45536</c:v>
                </c:pt>
                <c:pt idx="72">
                  <c:v>45566</c:v>
                </c:pt>
                <c:pt idx="73">
                  <c:v>45597</c:v>
                </c:pt>
                <c:pt idx="74">
                  <c:v>45627</c:v>
                </c:pt>
                <c:pt idx="75">
                  <c:v>45658</c:v>
                </c:pt>
                <c:pt idx="76">
                  <c:v>45689</c:v>
                </c:pt>
                <c:pt idx="77">
                  <c:v>45717</c:v>
                </c:pt>
                <c:pt idx="78">
                  <c:v>45748</c:v>
                </c:pt>
                <c:pt idx="79">
                  <c:v>45778</c:v>
                </c:pt>
                <c:pt idx="80">
                  <c:v>45809</c:v>
                </c:pt>
                <c:pt idx="81">
                  <c:v>45839</c:v>
                </c:pt>
                <c:pt idx="82">
                  <c:v>45870</c:v>
                </c:pt>
                <c:pt idx="83">
                  <c:v>45901</c:v>
                </c:pt>
                <c:pt idx="84">
                  <c:v>45931</c:v>
                </c:pt>
                <c:pt idx="85">
                  <c:v>45962</c:v>
                </c:pt>
                <c:pt idx="86">
                  <c:v>45992</c:v>
                </c:pt>
                <c:pt idx="87">
                  <c:v>46023</c:v>
                </c:pt>
                <c:pt idx="88">
                  <c:v>46054</c:v>
                </c:pt>
                <c:pt idx="89">
                  <c:v>46082</c:v>
                </c:pt>
                <c:pt idx="90">
                  <c:v>46113</c:v>
                </c:pt>
                <c:pt idx="91">
                  <c:v>46143</c:v>
                </c:pt>
                <c:pt idx="92">
                  <c:v>46174</c:v>
                </c:pt>
                <c:pt idx="93">
                  <c:v>46204</c:v>
                </c:pt>
                <c:pt idx="94">
                  <c:v>46235</c:v>
                </c:pt>
                <c:pt idx="95">
                  <c:v>46266</c:v>
                </c:pt>
                <c:pt idx="96">
                  <c:v>46296</c:v>
                </c:pt>
                <c:pt idx="97">
                  <c:v>46327</c:v>
                </c:pt>
                <c:pt idx="98">
                  <c:v>46357</c:v>
                </c:pt>
                <c:pt idx="99">
                  <c:v>46388</c:v>
                </c:pt>
                <c:pt idx="100">
                  <c:v>46419</c:v>
                </c:pt>
                <c:pt idx="101">
                  <c:v>46447</c:v>
                </c:pt>
                <c:pt idx="102">
                  <c:v>46478</c:v>
                </c:pt>
                <c:pt idx="103">
                  <c:v>46508</c:v>
                </c:pt>
                <c:pt idx="104">
                  <c:v>46539</c:v>
                </c:pt>
                <c:pt idx="105">
                  <c:v>46569</c:v>
                </c:pt>
                <c:pt idx="106">
                  <c:v>46600</c:v>
                </c:pt>
                <c:pt idx="107">
                  <c:v>46631</c:v>
                </c:pt>
                <c:pt idx="108">
                  <c:v>46661</c:v>
                </c:pt>
                <c:pt idx="109">
                  <c:v>46692</c:v>
                </c:pt>
                <c:pt idx="110">
                  <c:v>46722</c:v>
                </c:pt>
                <c:pt idx="111">
                  <c:v>46753</c:v>
                </c:pt>
                <c:pt idx="112">
                  <c:v>46784</c:v>
                </c:pt>
                <c:pt idx="113">
                  <c:v>46813</c:v>
                </c:pt>
                <c:pt idx="114">
                  <c:v>46844</c:v>
                </c:pt>
                <c:pt idx="115">
                  <c:v>46874</c:v>
                </c:pt>
                <c:pt idx="116">
                  <c:v>46905</c:v>
                </c:pt>
                <c:pt idx="117">
                  <c:v>46935</c:v>
                </c:pt>
                <c:pt idx="118">
                  <c:v>46966</c:v>
                </c:pt>
                <c:pt idx="119">
                  <c:v>46997</c:v>
                </c:pt>
                <c:pt idx="120">
                  <c:v>47027</c:v>
                </c:pt>
                <c:pt idx="121">
                  <c:v>47058</c:v>
                </c:pt>
                <c:pt idx="122">
                  <c:v>47088</c:v>
                </c:pt>
                <c:pt idx="123">
                  <c:v>47119</c:v>
                </c:pt>
                <c:pt idx="124">
                  <c:v>47150</c:v>
                </c:pt>
                <c:pt idx="125">
                  <c:v>47178</c:v>
                </c:pt>
                <c:pt idx="126">
                  <c:v>47209</c:v>
                </c:pt>
                <c:pt idx="127">
                  <c:v>47239</c:v>
                </c:pt>
                <c:pt idx="128">
                  <c:v>47270</c:v>
                </c:pt>
                <c:pt idx="129">
                  <c:v>47300</c:v>
                </c:pt>
                <c:pt idx="130">
                  <c:v>47331</c:v>
                </c:pt>
                <c:pt idx="131">
                  <c:v>47362</c:v>
                </c:pt>
                <c:pt idx="132">
                  <c:v>47392</c:v>
                </c:pt>
                <c:pt idx="133">
                  <c:v>47423</c:v>
                </c:pt>
                <c:pt idx="134">
                  <c:v>47453</c:v>
                </c:pt>
                <c:pt idx="135">
                  <c:v>47484</c:v>
                </c:pt>
                <c:pt idx="136">
                  <c:v>47515</c:v>
                </c:pt>
                <c:pt idx="137">
                  <c:v>47543</c:v>
                </c:pt>
                <c:pt idx="138">
                  <c:v>47574</c:v>
                </c:pt>
                <c:pt idx="139">
                  <c:v>47604</c:v>
                </c:pt>
                <c:pt idx="140">
                  <c:v>47635</c:v>
                </c:pt>
                <c:pt idx="141">
                  <c:v>47665</c:v>
                </c:pt>
                <c:pt idx="142">
                  <c:v>47696</c:v>
                </c:pt>
                <c:pt idx="143">
                  <c:v>47727</c:v>
                </c:pt>
                <c:pt idx="144">
                  <c:v>47757</c:v>
                </c:pt>
                <c:pt idx="145">
                  <c:v>47788</c:v>
                </c:pt>
                <c:pt idx="146">
                  <c:v>47818</c:v>
                </c:pt>
                <c:pt idx="147">
                  <c:v>47849</c:v>
                </c:pt>
                <c:pt idx="148">
                  <c:v>47880</c:v>
                </c:pt>
                <c:pt idx="149">
                  <c:v>47908</c:v>
                </c:pt>
                <c:pt idx="150">
                  <c:v>47939</c:v>
                </c:pt>
                <c:pt idx="151">
                  <c:v>47969</c:v>
                </c:pt>
                <c:pt idx="152">
                  <c:v>48000</c:v>
                </c:pt>
                <c:pt idx="153">
                  <c:v>48030</c:v>
                </c:pt>
                <c:pt idx="154">
                  <c:v>48061</c:v>
                </c:pt>
                <c:pt idx="155">
                  <c:v>48092</c:v>
                </c:pt>
                <c:pt idx="156">
                  <c:v>48122</c:v>
                </c:pt>
                <c:pt idx="157">
                  <c:v>48153</c:v>
                </c:pt>
                <c:pt idx="158">
                  <c:v>48183</c:v>
                </c:pt>
                <c:pt idx="159">
                  <c:v>48214</c:v>
                </c:pt>
                <c:pt idx="160">
                  <c:v>48245</c:v>
                </c:pt>
                <c:pt idx="161">
                  <c:v>48274</c:v>
                </c:pt>
                <c:pt idx="162">
                  <c:v>48305</c:v>
                </c:pt>
                <c:pt idx="163">
                  <c:v>48335</c:v>
                </c:pt>
                <c:pt idx="164">
                  <c:v>48366</c:v>
                </c:pt>
                <c:pt idx="165">
                  <c:v>48396</c:v>
                </c:pt>
                <c:pt idx="166">
                  <c:v>48427</c:v>
                </c:pt>
                <c:pt idx="167">
                  <c:v>48458</c:v>
                </c:pt>
                <c:pt idx="168">
                  <c:v>48488</c:v>
                </c:pt>
                <c:pt idx="169">
                  <c:v>48519</c:v>
                </c:pt>
                <c:pt idx="170">
                  <c:v>48549</c:v>
                </c:pt>
                <c:pt idx="171">
                  <c:v>48580</c:v>
                </c:pt>
                <c:pt idx="172">
                  <c:v>48611</c:v>
                </c:pt>
                <c:pt idx="173">
                  <c:v>48639</c:v>
                </c:pt>
                <c:pt idx="174">
                  <c:v>48670</c:v>
                </c:pt>
                <c:pt idx="175">
                  <c:v>48700</c:v>
                </c:pt>
                <c:pt idx="176">
                  <c:v>48731</c:v>
                </c:pt>
                <c:pt idx="177">
                  <c:v>48761</c:v>
                </c:pt>
                <c:pt idx="178">
                  <c:v>48792</c:v>
                </c:pt>
                <c:pt idx="179">
                  <c:v>48823</c:v>
                </c:pt>
                <c:pt idx="180">
                  <c:v>48853</c:v>
                </c:pt>
                <c:pt idx="181">
                  <c:v>48884</c:v>
                </c:pt>
                <c:pt idx="182">
                  <c:v>48914</c:v>
                </c:pt>
                <c:pt idx="183">
                  <c:v>48945</c:v>
                </c:pt>
                <c:pt idx="184">
                  <c:v>48976</c:v>
                </c:pt>
                <c:pt idx="185">
                  <c:v>49004</c:v>
                </c:pt>
                <c:pt idx="186">
                  <c:v>49035</c:v>
                </c:pt>
                <c:pt idx="187">
                  <c:v>49065</c:v>
                </c:pt>
                <c:pt idx="188">
                  <c:v>49096</c:v>
                </c:pt>
                <c:pt idx="189">
                  <c:v>49126</c:v>
                </c:pt>
                <c:pt idx="190">
                  <c:v>49157</c:v>
                </c:pt>
                <c:pt idx="191">
                  <c:v>49188</c:v>
                </c:pt>
                <c:pt idx="192">
                  <c:v>49218</c:v>
                </c:pt>
                <c:pt idx="193">
                  <c:v>49249</c:v>
                </c:pt>
                <c:pt idx="194">
                  <c:v>49279</c:v>
                </c:pt>
                <c:pt idx="195">
                  <c:v>49310</c:v>
                </c:pt>
                <c:pt idx="196">
                  <c:v>49341</c:v>
                </c:pt>
                <c:pt idx="197">
                  <c:v>49369</c:v>
                </c:pt>
                <c:pt idx="198">
                  <c:v>49400</c:v>
                </c:pt>
                <c:pt idx="199">
                  <c:v>49430</c:v>
                </c:pt>
                <c:pt idx="200">
                  <c:v>49461</c:v>
                </c:pt>
                <c:pt idx="201">
                  <c:v>49491</c:v>
                </c:pt>
                <c:pt idx="202">
                  <c:v>49522</c:v>
                </c:pt>
                <c:pt idx="203">
                  <c:v>49553</c:v>
                </c:pt>
                <c:pt idx="204">
                  <c:v>49583</c:v>
                </c:pt>
                <c:pt idx="205">
                  <c:v>49614</c:v>
                </c:pt>
                <c:pt idx="206">
                  <c:v>49644</c:v>
                </c:pt>
                <c:pt idx="207">
                  <c:v>49675</c:v>
                </c:pt>
                <c:pt idx="208">
                  <c:v>49706</c:v>
                </c:pt>
                <c:pt idx="209">
                  <c:v>49735</c:v>
                </c:pt>
                <c:pt idx="210">
                  <c:v>49766</c:v>
                </c:pt>
                <c:pt idx="211">
                  <c:v>49796</c:v>
                </c:pt>
                <c:pt idx="212">
                  <c:v>49827</c:v>
                </c:pt>
                <c:pt idx="213">
                  <c:v>49857</c:v>
                </c:pt>
                <c:pt idx="214">
                  <c:v>49888</c:v>
                </c:pt>
                <c:pt idx="215">
                  <c:v>49919</c:v>
                </c:pt>
                <c:pt idx="216">
                  <c:v>49949</c:v>
                </c:pt>
                <c:pt idx="217">
                  <c:v>49980</c:v>
                </c:pt>
                <c:pt idx="218">
                  <c:v>50010</c:v>
                </c:pt>
                <c:pt idx="219">
                  <c:v>50041</c:v>
                </c:pt>
                <c:pt idx="220">
                  <c:v>50072</c:v>
                </c:pt>
                <c:pt idx="221">
                  <c:v>50100</c:v>
                </c:pt>
                <c:pt idx="222">
                  <c:v>50131</c:v>
                </c:pt>
                <c:pt idx="223">
                  <c:v>50161</c:v>
                </c:pt>
                <c:pt idx="224">
                  <c:v>50192</c:v>
                </c:pt>
                <c:pt idx="225">
                  <c:v>50222</c:v>
                </c:pt>
                <c:pt idx="226">
                  <c:v>50253</c:v>
                </c:pt>
                <c:pt idx="227">
                  <c:v>50284</c:v>
                </c:pt>
                <c:pt idx="228">
                  <c:v>50314</c:v>
                </c:pt>
                <c:pt idx="229">
                  <c:v>50345</c:v>
                </c:pt>
                <c:pt idx="230">
                  <c:v>50375</c:v>
                </c:pt>
                <c:pt idx="231">
                  <c:v>50406</c:v>
                </c:pt>
                <c:pt idx="232">
                  <c:v>50437</c:v>
                </c:pt>
                <c:pt idx="233">
                  <c:v>50465</c:v>
                </c:pt>
                <c:pt idx="234">
                  <c:v>50496</c:v>
                </c:pt>
                <c:pt idx="235">
                  <c:v>50526</c:v>
                </c:pt>
                <c:pt idx="236">
                  <c:v>50557</c:v>
                </c:pt>
                <c:pt idx="237">
                  <c:v>50587</c:v>
                </c:pt>
                <c:pt idx="238">
                  <c:v>50618</c:v>
                </c:pt>
                <c:pt idx="239">
                  <c:v>50649</c:v>
                </c:pt>
                <c:pt idx="240">
                  <c:v>50679</c:v>
                </c:pt>
                <c:pt idx="241">
                  <c:v>50710</c:v>
                </c:pt>
                <c:pt idx="242">
                  <c:v>50740</c:v>
                </c:pt>
                <c:pt idx="243">
                  <c:v>50771</c:v>
                </c:pt>
                <c:pt idx="244">
                  <c:v>50802</c:v>
                </c:pt>
                <c:pt idx="245">
                  <c:v>50830</c:v>
                </c:pt>
                <c:pt idx="246">
                  <c:v>50861</c:v>
                </c:pt>
                <c:pt idx="247">
                  <c:v>50891</c:v>
                </c:pt>
                <c:pt idx="248">
                  <c:v>50922</c:v>
                </c:pt>
                <c:pt idx="249">
                  <c:v>50952</c:v>
                </c:pt>
                <c:pt idx="250">
                  <c:v>50983</c:v>
                </c:pt>
                <c:pt idx="251">
                  <c:v>51014</c:v>
                </c:pt>
                <c:pt idx="252">
                  <c:v>51044</c:v>
                </c:pt>
                <c:pt idx="253">
                  <c:v>51075</c:v>
                </c:pt>
                <c:pt idx="254">
                  <c:v>51105</c:v>
                </c:pt>
                <c:pt idx="255">
                  <c:v>51136</c:v>
                </c:pt>
                <c:pt idx="256">
                  <c:v>51167</c:v>
                </c:pt>
                <c:pt idx="257">
                  <c:v>51196</c:v>
                </c:pt>
                <c:pt idx="258">
                  <c:v>51227</c:v>
                </c:pt>
                <c:pt idx="259">
                  <c:v>51257</c:v>
                </c:pt>
                <c:pt idx="260">
                  <c:v>51288</c:v>
                </c:pt>
                <c:pt idx="261">
                  <c:v>51318</c:v>
                </c:pt>
                <c:pt idx="262">
                  <c:v>51349</c:v>
                </c:pt>
                <c:pt idx="263">
                  <c:v>51380</c:v>
                </c:pt>
                <c:pt idx="264">
                  <c:v>51410</c:v>
                </c:pt>
                <c:pt idx="265">
                  <c:v>51441</c:v>
                </c:pt>
                <c:pt idx="266">
                  <c:v>51471</c:v>
                </c:pt>
                <c:pt idx="267">
                  <c:v>51502</c:v>
                </c:pt>
                <c:pt idx="268">
                  <c:v>51533</c:v>
                </c:pt>
                <c:pt idx="269">
                  <c:v>51561</c:v>
                </c:pt>
                <c:pt idx="270">
                  <c:v>51592</c:v>
                </c:pt>
                <c:pt idx="271">
                  <c:v>51622</c:v>
                </c:pt>
                <c:pt idx="272">
                  <c:v>51653</c:v>
                </c:pt>
                <c:pt idx="273">
                  <c:v>51683</c:v>
                </c:pt>
                <c:pt idx="274">
                  <c:v>51714</c:v>
                </c:pt>
                <c:pt idx="275">
                  <c:v>51745</c:v>
                </c:pt>
                <c:pt idx="276">
                  <c:v>51775</c:v>
                </c:pt>
                <c:pt idx="277">
                  <c:v>51806</c:v>
                </c:pt>
                <c:pt idx="278">
                  <c:v>51836</c:v>
                </c:pt>
                <c:pt idx="279">
                  <c:v>51867</c:v>
                </c:pt>
                <c:pt idx="280">
                  <c:v>51898</c:v>
                </c:pt>
                <c:pt idx="281">
                  <c:v>51926</c:v>
                </c:pt>
                <c:pt idx="282">
                  <c:v>51957</c:v>
                </c:pt>
                <c:pt idx="283">
                  <c:v>51987</c:v>
                </c:pt>
                <c:pt idx="284">
                  <c:v>52018</c:v>
                </c:pt>
                <c:pt idx="285">
                  <c:v>52048</c:v>
                </c:pt>
                <c:pt idx="286">
                  <c:v>52079</c:v>
                </c:pt>
                <c:pt idx="287">
                  <c:v>52110</c:v>
                </c:pt>
                <c:pt idx="288">
                  <c:v>52140</c:v>
                </c:pt>
                <c:pt idx="289">
                  <c:v>52171</c:v>
                </c:pt>
                <c:pt idx="290">
                  <c:v>52201</c:v>
                </c:pt>
                <c:pt idx="291">
                  <c:v>52232</c:v>
                </c:pt>
                <c:pt idx="292">
                  <c:v>52263</c:v>
                </c:pt>
                <c:pt idx="293">
                  <c:v>52291</c:v>
                </c:pt>
                <c:pt idx="294">
                  <c:v>52322</c:v>
                </c:pt>
                <c:pt idx="295">
                  <c:v>52352</c:v>
                </c:pt>
                <c:pt idx="296">
                  <c:v>52383</c:v>
                </c:pt>
                <c:pt idx="297">
                  <c:v>52413</c:v>
                </c:pt>
                <c:pt idx="298">
                  <c:v>52444</c:v>
                </c:pt>
                <c:pt idx="299">
                  <c:v>52475</c:v>
                </c:pt>
              </c:numCache>
            </c:numRef>
          </c:cat>
          <c:val>
            <c:numRef>
              <c:f>Monatsdaten!$BM$2:$BM$301</c:f>
              <c:numCache>
                <c:formatCode>#,##0.00\ "€"</c:formatCode>
                <c:ptCount val="300"/>
                <c:pt idx="0">
                  <c:v>-200.00000000000003</c:v>
                </c:pt>
                <c:pt idx="1">
                  <c:v>-400.00000000000006</c:v>
                </c:pt>
                <c:pt idx="2">
                  <c:v>-600</c:v>
                </c:pt>
                <c:pt idx="3">
                  <c:v>-800</c:v>
                </c:pt>
                <c:pt idx="4">
                  <c:v>-998.11254699999995</c:v>
                </c:pt>
                <c:pt idx="5">
                  <c:v>-1189.1125469999999</c:v>
                </c:pt>
                <c:pt idx="6">
                  <c:v>-1380.1125469999999</c:v>
                </c:pt>
                <c:pt idx="7">
                  <c:v>-1571.1125469999999</c:v>
                </c:pt>
                <c:pt idx="8">
                  <c:v>-1762.1125469999999</c:v>
                </c:pt>
                <c:pt idx="9">
                  <c:v>-1953.1125469999999</c:v>
                </c:pt>
                <c:pt idx="10">
                  <c:v>-2144.1125469999997</c:v>
                </c:pt>
                <c:pt idx="11">
                  <c:v>-2335.1125469999997</c:v>
                </c:pt>
                <c:pt idx="12">
                  <c:v>-2523.1125469999997</c:v>
                </c:pt>
                <c:pt idx="13">
                  <c:v>-2711.1125469999997</c:v>
                </c:pt>
                <c:pt idx="14">
                  <c:v>-2899.1125469999997</c:v>
                </c:pt>
                <c:pt idx="15">
                  <c:v>-3087.1125469999997</c:v>
                </c:pt>
                <c:pt idx="16">
                  <c:v>-3275.1125469999997</c:v>
                </c:pt>
                <c:pt idx="17">
                  <c:v>-3463.1125469999997</c:v>
                </c:pt>
                <c:pt idx="18">
                  <c:v>-3651.1125469999997</c:v>
                </c:pt>
                <c:pt idx="19">
                  <c:v>-3899.1125469999997</c:v>
                </c:pt>
                <c:pt idx="20">
                  <c:v>-4170.1125469999997</c:v>
                </c:pt>
                <c:pt idx="21">
                  <c:v>-4441.1125469999997</c:v>
                </c:pt>
                <c:pt idx="22">
                  <c:v>-4712.1125469999997</c:v>
                </c:pt>
                <c:pt idx="23">
                  <c:v>-4983.1125469999997</c:v>
                </c:pt>
                <c:pt idx="24">
                  <c:v>-5254.1125469999997</c:v>
                </c:pt>
                <c:pt idx="25">
                  <c:v>-5525.1125469999997</c:v>
                </c:pt>
                <c:pt idx="26">
                  <c:v>-5796.1125469999997</c:v>
                </c:pt>
                <c:pt idx="27">
                  <c:v>-6067.1125469999997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89-CC4B-AE12-E08D574774E6}"/>
            </c:ext>
          </c:extLst>
        </c:ser>
        <c:ser>
          <c:idx val="2"/>
          <c:order val="1"/>
          <c:tx>
            <c:strRef>
              <c:f>Monatsdaten!$BN$1</c:f>
              <c:strCache>
                <c:ptCount val="1"/>
                <c:pt idx="0">
                  <c:v>Eigen Gewinn Verlauf Jahr</c:v>
                </c:pt>
              </c:strCache>
            </c:strRef>
          </c:tx>
          <c:spPr>
            <a:ln w="28575" cap="rnd">
              <a:solidFill>
                <a:srgbClr val="FF26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Monatsdaten!$B$2:$B$301</c:f>
              <c:numCache>
                <c:formatCode>[$-407]mmmm\ yy;@</c:formatCode>
                <c:ptCount val="300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  <c:pt idx="48">
                  <c:v>44835</c:v>
                </c:pt>
                <c:pt idx="49">
                  <c:v>44866</c:v>
                </c:pt>
                <c:pt idx="50">
                  <c:v>44896</c:v>
                </c:pt>
                <c:pt idx="51">
                  <c:v>44927</c:v>
                </c:pt>
                <c:pt idx="52">
                  <c:v>44958</c:v>
                </c:pt>
                <c:pt idx="53">
                  <c:v>44986</c:v>
                </c:pt>
                <c:pt idx="54">
                  <c:v>45017</c:v>
                </c:pt>
                <c:pt idx="55">
                  <c:v>45047</c:v>
                </c:pt>
                <c:pt idx="56">
                  <c:v>45078</c:v>
                </c:pt>
                <c:pt idx="57">
                  <c:v>45108</c:v>
                </c:pt>
                <c:pt idx="58">
                  <c:v>45139</c:v>
                </c:pt>
                <c:pt idx="59">
                  <c:v>45170</c:v>
                </c:pt>
                <c:pt idx="60">
                  <c:v>45200</c:v>
                </c:pt>
                <c:pt idx="61">
                  <c:v>45231</c:v>
                </c:pt>
                <c:pt idx="62">
                  <c:v>45261</c:v>
                </c:pt>
                <c:pt idx="63">
                  <c:v>45292</c:v>
                </c:pt>
                <c:pt idx="64">
                  <c:v>45323</c:v>
                </c:pt>
                <c:pt idx="65">
                  <c:v>45352</c:v>
                </c:pt>
                <c:pt idx="66">
                  <c:v>45383</c:v>
                </c:pt>
                <c:pt idx="67">
                  <c:v>45413</c:v>
                </c:pt>
                <c:pt idx="68">
                  <c:v>45444</c:v>
                </c:pt>
                <c:pt idx="69">
                  <c:v>45474</c:v>
                </c:pt>
                <c:pt idx="70">
                  <c:v>45505</c:v>
                </c:pt>
                <c:pt idx="71">
                  <c:v>45536</c:v>
                </c:pt>
                <c:pt idx="72">
                  <c:v>45566</c:v>
                </c:pt>
                <c:pt idx="73">
                  <c:v>45597</c:v>
                </c:pt>
                <c:pt idx="74">
                  <c:v>45627</c:v>
                </c:pt>
                <c:pt idx="75">
                  <c:v>45658</c:v>
                </c:pt>
                <c:pt idx="76">
                  <c:v>45689</c:v>
                </c:pt>
                <c:pt idx="77">
                  <c:v>45717</c:v>
                </c:pt>
                <c:pt idx="78">
                  <c:v>45748</c:v>
                </c:pt>
                <c:pt idx="79">
                  <c:v>45778</c:v>
                </c:pt>
                <c:pt idx="80">
                  <c:v>45809</c:v>
                </c:pt>
                <c:pt idx="81">
                  <c:v>45839</c:v>
                </c:pt>
                <c:pt idx="82">
                  <c:v>45870</c:v>
                </c:pt>
                <c:pt idx="83">
                  <c:v>45901</c:v>
                </c:pt>
                <c:pt idx="84">
                  <c:v>45931</c:v>
                </c:pt>
                <c:pt idx="85">
                  <c:v>45962</c:v>
                </c:pt>
                <c:pt idx="86">
                  <c:v>45992</c:v>
                </c:pt>
                <c:pt idx="87">
                  <c:v>46023</c:v>
                </c:pt>
                <c:pt idx="88">
                  <c:v>46054</c:v>
                </c:pt>
                <c:pt idx="89">
                  <c:v>46082</c:v>
                </c:pt>
                <c:pt idx="90">
                  <c:v>46113</c:v>
                </c:pt>
                <c:pt idx="91">
                  <c:v>46143</c:v>
                </c:pt>
                <c:pt idx="92">
                  <c:v>46174</c:v>
                </c:pt>
                <c:pt idx="93">
                  <c:v>46204</c:v>
                </c:pt>
                <c:pt idx="94">
                  <c:v>46235</c:v>
                </c:pt>
                <c:pt idx="95">
                  <c:v>46266</c:v>
                </c:pt>
                <c:pt idx="96">
                  <c:v>46296</c:v>
                </c:pt>
                <c:pt idx="97">
                  <c:v>46327</c:v>
                </c:pt>
                <c:pt idx="98">
                  <c:v>46357</c:v>
                </c:pt>
                <c:pt idx="99">
                  <c:v>46388</c:v>
                </c:pt>
                <c:pt idx="100">
                  <c:v>46419</c:v>
                </c:pt>
                <c:pt idx="101">
                  <c:v>46447</c:v>
                </c:pt>
                <c:pt idx="102">
                  <c:v>46478</c:v>
                </c:pt>
                <c:pt idx="103">
                  <c:v>46508</c:v>
                </c:pt>
                <c:pt idx="104">
                  <c:v>46539</c:v>
                </c:pt>
                <c:pt idx="105">
                  <c:v>46569</c:v>
                </c:pt>
                <c:pt idx="106">
                  <c:v>46600</c:v>
                </c:pt>
                <c:pt idx="107">
                  <c:v>46631</c:v>
                </c:pt>
                <c:pt idx="108">
                  <c:v>46661</c:v>
                </c:pt>
                <c:pt idx="109">
                  <c:v>46692</c:v>
                </c:pt>
                <c:pt idx="110">
                  <c:v>46722</c:v>
                </c:pt>
                <c:pt idx="111">
                  <c:v>46753</c:v>
                </c:pt>
                <c:pt idx="112">
                  <c:v>46784</c:v>
                </c:pt>
                <c:pt idx="113">
                  <c:v>46813</c:v>
                </c:pt>
                <c:pt idx="114">
                  <c:v>46844</c:v>
                </c:pt>
                <c:pt idx="115">
                  <c:v>46874</c:v>
                </c:pt>
                <c:pt idx="116">
                  <c:v>46905</c:v>
                </c:pt>
                <c:pt idx="117">
                  <c:v>46935</c:v>
                </c:pt>
                <c:pt idx="118">
                  <c:v>46966</c:v>
                </c:pt>
                <c:pt idx="119">
                  <c:v>46997</c:v>
                </c:pt>
                <c:pt idx="120">
                  <c:v>47027</c:v>
                </c:pt>
                <c:pt idx="121">
                  <c:v>47058</c:v>
                </c:pt>
                <c:pt idx="122">
                  <c:v>47088</c:v>
                </c:pt>
                <c:pt idx="123">
                  <c:v>47119</c:v>
                </c:pt>
                <c:pt idx="124">
                  <c:v>47150</c:v>
                </c:pt>
                <c:pt idx="125">
                  <c:v>47178</c:v>
                </c:pt>
                <c:pt idx="126">
                  <c:v>47209</c:v>
                </c:pt>
                <c:pt idx="127">
                  <c:v>47239</c:v>
                </c:pt>
                <c:pt idx="128">
                  <c:v>47270</c:v>
                </c:pt>
                <c:pt idx="129">
                  <c:v>47300</c:v>
                </c:pt>
                <c:pt idx="130">
                  <c:v>47331</c:v>
                </c:pt>
                <c:pt idx="131">
                  <c:v>47362</c:v>
                </c:pt>
                <c:pt idx="132">
                  <c:v>47392</c:v>
                </c:pt>
                <c:pt idx="133">
                  <c:v>47423</c:v>
                </c:pt>
                <c:pt idx="134">
                  <c:v>47453</c:v>
                </c:pt>
                <c:pt idx="135">
                  <c:v>47484</c:v>
                </c:pt>
                <c:pt idx="136">
                  <c:v>47515</c:v>
                </c:pt>
                <c:pt idx="137">
                  <c:v>47543</c:v>
                </c:pt>
                <c:pt idx="138">
                  <c:v>47574</c:v>
                </c:pt>
                <c:pt idx="139">
                  <c:v>47604</c:v>
                </c:pt>
                <c:pt idx="140">
                  <c:v>47635</c:v>
                </c:pt>
                <c:pt idx="141">
                  <c:v>47665</c:v>
                </c:pt>
                <c:pt idx="142">
                  <c:v>47696</c:v>
                </c:pt>
                <c:pt idx="143">
                  <c:v>47727</c:v>
                </c:pt>
                <c:pt idx="144">
                  <c:v>47757</c:v>
                </c:pt>
                <c:pt idx="145">
                  <c:v>47788</c:v>
                </c:pt>
                <c:pt idx="146">
                  <c:v>47818</c:v>
                </c:pt>
                <c:pt idx="147">
                  <c:v>47849</c:v>
                </c:pt>
                <c:pt idx="148">
                  <c:v>47880</c:v>
                </c:pt>
                <c:pt idx="149">
                  <c:v>47908</c:v>
                </c:pt>
                <c:pt idx="150">
                  <c:v>47939</c:v>
                </c:pt>
                <c:pt idx="151">
                  <c:v>47969</c:v>
                </c:pt>
                <c:pt idx="152">
                  <c:v>48000</c:v>
                </c:pt>
                <c:pt idx="153">
                  <c:v>48030</c:v>
                </c:pt>
                <c:pt idx="154">
                  <c:v>48061</c:v>
                </c:pt>
                <c:pt idx="155">
                  <c:v>48092</c:v>
                </c:pt>
                <c:pt idx="156">
                  <c:v>48122</c:v>
                </c:pt>
                <c:pt idx="157">
                  <c:v>48153</c:v>
                </c:pt>
                <c:pt idx="158">
                  <c:v>48183</c:v>
                </c:pt>
                <c:pt idx="159">
                  <c:v>48214</c:v>
                </c:pt>
                <c:pt idx="160">
                  <c:v>48245</c:v>
                </c:pt>
                <c:pt idx="161">
                  <c:v>48274</c:v>
                </c:pt>
                <c:pt idx="162">
                  <c:v>48305</c:v>
                </c:pt>
                <c:pt idx="163">
                  <c:v>48335</c:v>
                </c:pt>
                <c:pt idx="164">
                  <c:v>48366</c:v>
                </c:pt>
                <c:pt idx="165">
                  <c:v>48396</c:v>
                </c:pt>
                <c:pt idx="166">
                  <c:v>48427</c:v>
                </c:pt>
                <c:pt idx="167">
                  <c:v>48458</c:v>
                </c:pt>
                <c:pt idx="168">
                  <c:v>48488</c:v>
                </c:pt>
                <c:pt idx="169">
                  <c:v>48519</c:v>
                </c:pt>
                <c:pt idx="170">
                  <c:v>48549</c:v>
                </c:pt>
                <c:pt idx="171">
                  <c:v>48580</c:v>
                </c:pt>
                <c:pt idx="172">
                  <c:v>48611</c:v>
                </c:pt>
                <c:pt idx="173">
                  <c:v>48639</c:v>
                </c:pt>
                <c:pt idx="174">
                  <c:v>48670</c:v>
                </c:pt>
                <c:pt idx="175">
                  <c:v>48700</c:v>
                </c:pt>
                <c:pt idx="176">
                  <c:v>48731</c:v>
                </c:pt>
                <c:pt idx="177">
                  <c:v>48761</c:v>
                </c:pt>
                <c:pt idx="178">
                  <c:v>48792</c:v>
                </c:pt>
                <c:pt idx="179">
                  <c:v>48823</c:v>
                </c:pt>
                <c:pt idx="180">
                  <c:v>48853</c:v>
                </c:pt>
                <c:pt idx="181">
                  <c:v>48884</c:v>
                </c:pt>
                <c:pt idx="182">
                  <c:v>48914</c:v>
                </c:pt>
                <c:pt idx="183">
                  <c:v>48945</c:v>
                </c:pt>
                <c:pt idx="184">
                  <c:v>48976</c:v>
                </c:pt>
                <c:pt idx="185">
                  <c:v>49004</c:v>
                </c:pt>
                <c:pt idx="186">
                  <c:v>49035</c:v>
                </c:pt>
                <c:pt idx="187">
                  <c:v>49065</c:v>
                </c:pt>
                <c:pt idx="188">
                  <c:v>49096</c:v>
                </c:pt>
                <c:pt idx="189">
                  <c:v>49126</c:v>
                </c:pt>
                <c:pt idx="190">
                  <c:v>49157</c:v>
                </c:pt>
                <c:pt idx="191">
                  <c:v>49188</c:v>
                </c:pt>
                <c:pt idx="192">
                  <c:v>49218</c:v>
                </c:pt>
                <c:pt idx="193">
                  <c:v>49249</c:v>
                </c:pt>
                <c:pt idx="194">
                  <c:v>49279</c:v>
                </c:pt>
                <c:pt idx="195">
                  <c:v>49310</c:v>
                </c:pt>
                <c:pt idx="196">
                  <c:v>49341</c:v>
                </c:pt>
                <c:pt idx="197">
                  <c:v>49369</c:v>
                </c:pt>
                <c:pt idx="198">
                  <c:v>49400</c:v>
                </c:pt>
                <c:pt idx="199">
                  <c:v>49430</c:v>
                </c:pt>
                <c:pt idx="200">
                  <c:v>49461</c:v>
                </c:pt>
                <c:pt idx="201">
                  <c:v>49491</c:v>
                </c:pt>
                <c:pt idx="202">
                  <c:v>49522</c:v>
                </c:pt>
                <c:pt idx="203">
                  <c:v>49553</c:v>
                </c:pt>
                <c:pt idx="204">
                  <c:v>49583</c:v>
                </c:pt>
                <c:pt idx="205">
                  <c:v>49614</c:v>
                </c:pt>
                <c:pt idx="206">
                  <c:v>49644</c:v>
                </c:pt>
                <c:pt idx="207">
                  <c:v>49675</c:v>
                </c:pt>
                <c:pt idx="208">
                  <c:v>49706</c:v>
                </c:pt>
                <c:pt idx="209">
                  <c:v>49735</c:v>
                </c:pt>
                <c:pt idx="210">
                  <c:v>49766</c:v>
                </c:pt>
                <c:pt idx="211">
                  <c:v>49796</c:v>
                </c:pt>
                <c:pt idx="212">
                  <c:v>49827</c:v>
                </c:pt>
                <c:pt idx="213">
                  <c:v>49857</c:v>
                </c:pt>
                <c:pt idx="214">
                  <c:v>49888</c:v>
                </c:pt>
                <c:pt idx="215">
                  <c:v>49919</c:v>
                </c:pt>
                <c:pt idx="216">
                  <c:v>49949</c:v>
                </c:pt>
                <c:pt idx="217">
                  <c:v>49980</c:v>
                </c:pt>
                <c:pt idx="218">
                  <c:v>50010</c:v>
                </c:pt>
                <c:pt idx="219">
                  <c:v>50041</c:v>
                </c:pt>
                <c:pt idx="220">
                  <c:v>50072</c:v>
                </c:pt>
                <c:pt idx="221">
                  <c:v>50100</c:v>
                </c:pt>
                <c:pt idx="222">
                  <c:v>50131</c:v>
                </c:pt>
                <c:pt idx="223">
                  <c:v>50161</c:v>
                </c:pt>
                <c:pt idx="224">
                  <c:v>50192</c:v>
                </c:pt>
                <c:pt idx="225">
                  <c:v>50222</c:v>
                </c:pt>
                <c:pt idx="226">
                  <c:v>50253</c:v>
                </c:pt>
                <c:pt idx="227">
                  <c:v>50284</c:v>
                </c:pt>
                <c:pt idx="228">
                  <c:v>50314</c:v>
                </c:pt>
                <c:pt idx="229">
                  <c:v>50345</c:v>
                </c:pt>
                <c:pt idx="230">
                  <c:v>50375</c:v>
                </c:pt>
                <c:pt idx="231">
                  <c:v>50406</c:v>
                </c:pt>
                <c:pt idx="232">
                  <c:v>50437</c:v>
                </c:pt>
                <c:pt idx="233">
                  <c:v>50465</c:v>
                </c:pt>
                <c:pt idx="234">
                  <c:v>50496</c:v>
                </c:pt>
                <c:pt idx="235">
                  <c:v>50526</c:v>
                </c:pt>
                <c:pt idx="236">
                  <c:v>50557</c:v>
                </c:pt>
                <c:pt idx="237">
                  <c:v>50587</c:v>
                </c:pt>
                <c:pt idx="238">
                  <c:v>50618</c:v>
                </c:pt>
                <c:pt idx="239">
                  <c:v>50649</c:v>
                </c:pt>
                <c:pt idx="240">
                  <c:v>50679</c:v>
                </c:pt>
                <c:pt idx="241">
                  <c:v>50710</c:v>
                </c:pt>
                <c:pt idx="242">
                  <c:v>50740</c:v>
                </c:pt>
                <c:pt idx="243">
                  <c:v>50771</c:v>
                </c:pt>
                <c:pt idx="244">
                  <c:v>50802</c:v>
                </c:pt>
                <c:pt idx="245">
                  <c:v>50830</c:v>
                </c:pt>
                <c:pt idx="246">
                  <c:v>50861</c:v>
                </c:pt>
                <c:pt idx="247">
                  <c:v>50891</c:v>
                </c:pt>
                <c:pt idx="248">
                  <c:v>50922</c:v>
                </c:pt>
                <c:pt idx="249">
                  <c:v>50952</c:v>
                </c:pt>
                <c:pt idx="250">
                  <c:v>50983</c:v>
                </c:pt>
                <c:pt idx="251">
                  <c:v>51014</c:v>
                </c:pt>
                <c:pt idx="252">
                  <c:v>51044</c:v>
                </c:pt>
                <c:pt idx="253">
                  <c:v>51075</c:v>
                </c:pt>
                <c:pt idx="254">
                  <c:v>51105</c:v>
                </c:pt>
                <c:pt idx="255">
                  <c:v>51136</c:v>
                </c:pt>
                <c:pt idx="256">
                  <c:v>51167</c:v>
                </c:pt>
                <c:pt idx="257">
                  <c:v>51196</c:v>
                </c:pt>
                <c:pt idx="258">
                  <c:v>51227</c:v>
                </c:pt>
                <c:pt idx="259">
                  <c:v>51257</c:v>
                </c:pt>
                <c:pt idx="260">
                  <c:v>51288</c:v>
                </c:pt>
                <c:pt idx="261">
                  <c:v>51318</c:v>
                </c:pt>
                <c:pt idx="262">
                  <c:v>51349</c:v>
                </c:pt>
                <c:pt idx="263">
                  <c:v>51380</c:v>
                </c:pt>
                <c:pt idx="264">
                  <c:v>51410</c:v>
                </c:pt>
                <c:pt idx="265">
                  <c:v>51441</c:v>
                </c:pt>
                <c:pt idx="266">
                  <c:v>51471</c:v>
                </c:pt>
                <c:pt idx="267">
                  <c:v>51502</c:v>
                </c:pt>
                <c:pt idx="268">
                  <c:v>51533</c:v>
                </c:pt>
                <c:pt idx="269">
                  <c:v>51561</c:v>
                </c:pt>
                <c:pt idx="270">
                  <c:v>51592</c:v>
                </c:pt>
                <c:pt idx="271">
                  <c:v>51622</c:v>
                </c:pt>
                <c:pt idx="272">
                  <c:v>51653</c:v>
                </c:pt>
                <c:pt idx="273">
                  <c:v>51683</c:v>
                </c:pt>
                <c:pt idx="274">
                  <c:v>51714</c:v>
                </c:pt>
                <c:pt idx="275">
                  <c:v>51745</c:v>
                </c:pt>
                <c:pt idx="276">
                  <c:v>51775</c:v>
                </c:pt>
                <c:pt idx="277">
                  <c:v>51806</c:v>
                </c:pt>
                <c:pt idx="278">
                  <c:v>51836</c:v>
                </c:pt>
                <c:pt idx="279">
                  <c:v>51867</c:v>
                </c:pt>
                <c:pt idx="280">
                  <c:v>51898</c:v>
                </c:pt>
                <c:pt idx="281">
                  <c:v>51926</c:v>
                </c:pt>
                <c:pt idx="282">
                  <c:v>51957</c:v>
                </c:pt>
                <c:pt idx="283">
                  <c:v>51987</c:v>
                </c:pt>
                <c:pt idx="284">
                  <c:v>52018</c:v>
                </c:pt>
                <c:pt idx="285">
                  <c:v>52048</c:v>
                </c:pt>
                <c:pt idx="286">
                  <c:v>52079</c:v>
                </c:pt>
                <c:pt idx="287">
                  <c:v>52110</c:v>
                </c:pt>
                <c:pt idx="288">
                  <c:v>52140</c:v>
                </c:pt>
                <c:pt idx="289">
                  <c:v>52171</c:v>
                </c:pt>
                <c:pt idx="290">
                  <c:v>52201</c:v>
                </c:pt>
                <c:pt idx="291">
                  <c:v>52232</c:v>
                </c:pt>
                <c:pt idx="292">
                  <c:v>52263</c:v>
                </c:pt>
                <c:pt idx="293">
                  <c:v>52291</c:v>
                </c:pt>
                <c:pt idx="294">
                  <c:v>52322</c:v>
                </c:pt>
                <c:pt idx="295">
                  <c:v>52352</c:v>
                </c:pt>
                <c:pt idx="296">
                  <c:v>52383</c:v>
                </c:pt>
                <c:pt idx="297">
                  <c:v>52413</c:v>
                </c:pt>
                <c:pt idx="298">
                  <c:v>52444</c:v>
                </c:pt>
                <c:pt idx="299">
                  <c:v>52475</c:v>
                </c:pt>
              </c:numCache>
            </c:numRef>
          </c:cat>
          <c:val>
            <c:numRef>
              <c:f>Monatsdaten!$BN$2:$BN$301</c:f>
              <c:numCache>
                <c:formatCode>#,##0.00\ "€"</c:formatCode>
                <c:ptCount val="300"/>
                <c:pt idx="0">
                  <c:v>0</c:v>
                </c:pt>
                <c:pt idx="1">
                  <c:v>-212.28295881818178</c:v>
                </c:pt>
                <c:pt idx="2">
                  <c:v>-424.56591763636357</c:v>
                </c:pt>
                <c:pt idx="3">
                  <c:v>-636.84887645454535</c:v>
                </c:pt>
                <c:pt idx="4">
                  <c:v>-849.13183527272713</c:v>
                </c:pt>
                <c:pt idx="5">
                  <c:v>-1061.4147940909088</c:v>
                </c:pt>
                <c:pt idx="6">
                  <c:v>-1273.6977529090905</c:v>
                </c:pt>
                <c:pt idx="7">
                  <c:v>-1485.9807117272721</c:v>
                </c:pt>
                <c:pt idx="8">
                  <c:v>-1698.2636705454538</c:v>
                </c:pt>
                <c:pt idx="9">
                  <c:v>-1910.5466293636355</c:v>
                </c:pt>
                <c:pt idx="10">
                  <c:v>-2122.8295881818171</c:v>
                </c:pt>
                <c:pt idx="11">
                  <c:v>-2335.1125469999988</c:v>
                </c:pt>
                <c:pt idx="12">
                  <c:v>-2555.7792136666653</c:v>
                </c:pt>
                <c:pt idx="13">
                  <c:v>-2776.4458803333318</c:v>
                </c:pt>
                <c:pt idx="14">
                  <c:v>-2997.1125469999984</c:v>
                </c:pt>
                <c:pt idx="15">
                  <c:v>-3217.7792136666649</c:v>
                </c:pt>
                <c:pt idx="16">
                  <c:v>-3438.4458803333314</c:v>
                </c:pt>
                <c:pt idx="17">
                  <c:v>-3659.1125469999979</c:v>
                </c:pt>
                <c:pt idx="18">
                  <c:v>-3879.7792136666644</c:v>
                </c:pt>
                <c:pt idx="19">
                  <c:v>-4100.4458803333309</c:v>
                </c:pt>
                <c:pt idx="20">
                  <c:v>-4321.1125469999979</c:v>
                </c:pt>
                <c:pt idx="21">
                  <c:v>-4541.7792136666649</c:v>
                </c:pt>
                <c:pt idx="22">
                  <c:v>-4762.4458803333318</c:v>
                </c:pt>
                <c:pt idx="23">
                  <c:v>-4983.1125469999988</c:v>
                </c:pt>
                <c:pt idx="24">
                  <c:v>-5254.1125469999988</c:v>
                </c:pt>
                <c:pt idx="25">
                  <c:v>-5525.1125469999988</c:v>
                </c:pt>
                <c:pt idx="26">
                  <c:v>-5796.1125469999988</c:v>
                </c:pt>
                <c:pt idx="27">
                  <c:v>-6067.1125469999988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E-594D-AA04-9309E05AC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317504"/>
        <c:axId val="299327488"/>
      </c:lineChart>
      <c:dateAx>
        <c:axId val="299317504"/>
        <c:scaling>
          <c:orientation val="minMax"/>
        </c:scaling>
        <c:delete val="0"/>
        <c:axPos val="b"/>
        <c:numFmt formatCode="[$-407]mmmm\ yy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9327488"/>
        <c:crosses val="autoZero"/>
        <c:auto val="1"/>
        <c:lblOffset val="100"/>
        <c:baseTimeUnit val="months"/>
      </c:dateAx>
      <c:valAx>
        <c:axId val="29932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9317504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82723313431974"/>
          <c:y val="1.9230769230769232E-2"/>
          <c:w val="0.88811415880707234"/>
          <c:h val="0.80632054952921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Monatsdaten!$DH$2:$DH$13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04-4B41-9DF8-0E8B7EEDF6B8}"/>
            </c:ext>
          </c:extLst>
        </c:ser>
        <c:ser>
          <c:idx val="2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75000"/>
                    <a:shade val="51000"/>
                    <a:satMod val="130000"/>
                  </a:schemeClr>
                </a:gs>
                <a:gs pos="80000">
                  <a:schemeClr val="dk1">
                    <a:tint val="75000"/>
                    <a:shade val="93000"/>
                    <a:satMod val="130000"/>
                  </a:schemeClr>
                </a:gs>
                <a:gs pos="100000">
                  <a:schemeClr val="dk1">
                    <a:tint val="7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Monatsdaten!$DH$14:$DH$25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8-F84A-B5B4-6E31D1257EB9}"/>
            </c:ext>
          </c:extLst>
        </c:ser>
        <c:ser>
          <c:idx val="3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98500"/>
                    <a:shade val="51000"/>
                    <a:satMod val="130000"/>
                  </a:schemeClr>
                </a:gs>
                <a:gs pos="80000">
                  <a:schemeClr val="dk1">
                    <a:tint val="98500"/>
                    <a:shade val="93000"/>
                    <a:satMod val="130000"/>
                  </a:schemeClr>
                </a:gs>
                <a:gs pos="100000">
                  <a:schemeClr val="dk1">
                    <a:tint val="9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Monatsdaten!$DH$26:$DH$37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8-F84A-B5B4-6E31D1257EB9}"/>
            </c:ext>
          </c:extLst>
        </c:ser>
        <c:ser>
          <c:idx val="4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30000"/>
                    <a:shade val="51000"/>
                    <a:satMod val="130000"/>
                  </a:schemeClr>
                </a:gs>
                <a:gs pos="80000">
                  <a:schemeClr val="dk1">
                    <a:tint val="30000"/>
                    <a:shade val="93000"/>
                    <a:satMod val="130000"/>
                  </a:schemeClr>
                </a:gs>
                <a:gs pos="100000">
                  <a:schemeClr val="dk1">
                    <a:tint val="3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Monatsdaten!$DH$38:$DH$49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68-F84A-B5B4-6E31D1257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083840"/>
        <c:axId val="340085376"/>
      </c:barChart>
      <c:lineChart>
        <c:grouping val="standard"/>
        <c:varyColors val="0"/>
        <c:ser>
          <c:idx val="1"/>
          <c:order val="4"/>
          <c:tx>
            <c:strRef>
              <c:f>Monatsdaten!$DI$1</c:f>
              <c:strCache>
                <c:ptCount val="1"/>
                <c:pt idx="0">
                  <c:v>Stromverlauf Soll Verbrauch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Monatsdaten!$DI$2:$DI$13</c:f>
              <c:numCache>
                <c:formatCode>#,##0.0</c:formatCode>
                <c:ptCount val="12"/>
                <c:pt idx="0">
                  <c:v>1850</c:v>
                </c:pt>
                <c:pt idx="1">
                  <c:v>3550</c:v>
                </c:pt>
                <c:pt idx="2">
                  <c:v>5300</c:v>
                </c:pt>
                <c:pt idx="3">
                  <c:v>7350</c:v>
                </c:pt>
                <c:pt idx="4">
                  <c:v>9600</c:v>
                </c:pt>
                <c:pt idx="5">
                  <c:v>11850</c:v>
                </c:pt>
                <c:pt idx="6">
                  <c:v>14000</c:v>
                </c:pt>
                <c:pt idx="7">
                  <c:v>16000</c:v>
                </c:pt>
                <c:pt idx="8">
                  <c:v>17200</c:v>
                </c:pt>
                <c:pt idx="9">
                  <c:v>18250</c:v>
                </c:pt>
                <c:pt idx="10">
                  <c:v>19300</c:v>
                </c:pt>
                <c:pt idx="11">
                  <c:v>20800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04-4B41-9DF8-0E8B7EEDF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083840"/>
        <c:axId val="340085376"/>
      </c:lineChart>
      <c:dateAx>
        <c:axId val="340083840"/>
        <c:scaling>
          <c:orientation val="minMax"/>
        </c:scaling>
        <c:delete val="1"/>
        <c:axPos val="b"/>
        <c:numFmt formatCode="[$-407]mmmm\ yy;@" sourceLinked="1"/>
        <c:majorTickMark val="none"/>
        <c:minorTickMark val="none"/>
        <c:tickLblPos val="nextTo"/>
        <c:crossAx val="340085376"/>
        <c:crosses val="autoZero"/>
        <c:auto val="1"/>
        <c:lblOffset val="100"/>
        <c:baseTimeUnit val="months"/>
      </c:dateAx>
      <c:valAx>
        <c:axId val="34008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0083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98474229182891"/>
          <c:y val="1.9230769230769232E-2"/>
          <c:w val="0.86495664964956309"/>
          <c:h val="0.80632054952921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Monatsdaten!$M$2:$M$13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7-2B41-8886-F7399CEA7A9B}"/>
            </c:ext>
          </c:extLst>
        </c:ser>
        <c:ser>
          <c:idx val="1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Monatsdaten!$M$14:$M$25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7-2B41-8886-F7399CEA7A9B}"/>
            </c:ext>
          </c:extLst>
        </c:ser>
        <c:ser>
          <c:idx val="2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Monatsdaten!$M$26:$M$37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4-6144-9C1B-630BD4DE3B78}"/>
            </c:ext>
          </c:extLst>
        </c:ser>
        <c:ser>
          <c:idx val="3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Monatsdaten!$M$38:$M$49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4-6144-9C1B-630BD4DE3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259200"/>
        <c:axId val="340260736"/>
      </c:barChart>
      <c:lineChart>
        <c:grouping val="standard"/>
        <c:varyColors val="0"/>
        <c:ser>
          <c:idx val="4"/>
          <c:order val="4"/>
          <c:tx>
            <c:strRef>
              <c:f>Monatsdaten!$DL$1</c:f>
              <c:strCache>
                <c:ptCount val="1"/>
                <c:pt idx="0">
                  <c:v>Eigen Haushaltsstrom Soll Verbrauch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Monatsdaten!$DL$2:$DL$13</c:f>
              <c:numCache>
                <c:formatCode>#,##0.0</c:formatCode>
                <c:ptCount val="12"/>
                <c:pt idx="0">
                  <c:v>650</c:v>
                </c:pt>
                <c:pt idx="1">
                  <c:v>650</c:v>
                </c:pt>
                <c:pt idx="2">
                  <c:v>650</c:v>
                </c:pt>
                <c:pt idx="3">
                  <c:v>650</c:v>
                </c:pt>
                <c:pt idx="4">
                  <c:v>650</c:v>
                </c:pt>
                <c:pt idx="5">
                  <c:v>650</c:v>
                </c:pt>
                <c:pt idx="6">
                  <c:v>650</c:v>
                </c:pt>
                <c:pt idx="7">
                  <c:v>650</c:v>
                </c:pt>
                <c:pt idx="8">
                  <c:v>650</c:v>
                </c:pt>
                <c:pt idx="9">
                  <c:v>650</c:v>
                </c:pt>
                <c:pt idx="10">
                  <c:v>650</c:v>
                </c:pt>
                <c:pt idx="11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6-7140-821A-E0BC54171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259200"/>
        <c:axId val="340260736"/>
      </c:lineChart>
      <c:dateAx>
        <c:axId val="340259200"/>
        <c:scaling>
          <c:orientation val="minMax"/>
        </c:scaling>
        <c:delete val="1"/>
        <c:axPos val="b"/>
        <c:numFmt formatCode="[$-407]mmmm;@" sourceLinked="1"/>
        <c:majorTickMark val="none"/>
        <c:minorTickMark val="none"/>
        <c:tickLblPos val="nextTo"/>
        <c:crossAx val="340260736"/>
        <c:crosses val="autoZero"/>
        <c:auto val="1"/>
        <c:lblOffset val="100"/>
        <c:baseTimeUnit val="months"/>
      </c:dateAx>
      <c:valAx>
        <c:axId val="34026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025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4559141645755E-2"/>
          <c:y val="1.9230769230769232E-2"/>
          <c:w val="0.90610683279974613"/>
          <c:h val="0.76791132096250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Monatsdaten!$DJ$2:$DJ$13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7-C140-93C9-4FF860282D84}"/>
            </c:ext>
          </c:extLst>
        </c:ser>
        <c:ser>
          <c:idx val="2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Monatsdaten!$DJ$14:$DJ$25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7-674D-B2C8-488DDA88ED56}"/>
            </c:ext>
          </c:extLst>
        </c:ser>
        <c:ser>
          <c:idx val="3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val>
            <c:numRef>
              <c:f>Monatsdaten!$DJ$26:$DJ$37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7-674D-B2C8-488DDA88ED56}"/>
            </c:ext>
          </c:extLst>
        </c:ser>
        <c:ser>
          <c:idx val="4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val>
            <c:numRef>
              <c:f>Monatsdaten!$DJ$38:$DJ$49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27-674D-B2C8-488DDA88E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237952"/>
        <c:axId val="346260224"/>
      </c:barChart>
      <c:lineChart>
        <c:grouping val="standard"/>
        <c:varyColors val="0"/>
        <c:ser>
          <c:idx val="1"/>
          <c:order val="4"/>
          <c:tx>
            <c:strRef>
              <c:f>Monatsdaten!$DK$1</c:f>
              <c:strCache>
                <c:ptCount val="1"/>
                <c:pt idx="0">
                  <c:v>Eigen Haushaltsstrom
Verlauf Soll
Verbrauch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Monatsdaten!$DK$2:$DK$13</c:f>
              <c:numCache>
                <c:formatCode>#,##0.0</c:formatCode>
                <c:ptCount val="12"/>
                <c:pt idx="0">
                  <c:v>650</c:v>
                </c:pt>
                <c:pt idx="1">
                  <c:v>1300</c:v>
                </c:pt>
                <c:pt idx="2">
                  <c:v>1950</c:v>
                </c:pt>
                <c:pt idx="3">
                  <c:v>2600</c:v>
                </c:pt>
                <c:pt idx="4">
                  <c:v>3250</c:v>
                </c:pt>
                <c:pt idx="5">
                  <c:v>3900</c:v>
                </c:pt>
                <c:pt idx="6">
                  <c:v>4550</c:v>
                </c:pt>
                <c:pt idx="7">
                  <c:v>5200</c:v>
                </c:pt>
                <c:pt idx="8">
                  <c:v>5850</c:v>
                </c:pt>
                <c:pt idx="9">
                  <c:v>6500</c:v>
                </c:pt>
                <c:pt idx="10">
                  <c:v>7150</c:v>
                </c:pt>
                <c:pt idx="11">
                  <c:v>7800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A7-C140-93C9-4FF860282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237952"/>
        <c:axId val="346260224"/>
      </c:lineChart>
      <c:dateAx>
        <c:axId val="346237952"/>
        <c:scaling>
          <c:orientation val="minMax"/>
        </c:scaling>
        <c:delete val="1"/>
        <c:axPos val="b"/>
        <c:numFmt formatCode="[$-407]mmmm\ yy;@" sourceLinked="1"/>
        <c:majorTickMark val="none"/>
        <c:minorTickMark val="none"/>
        <c:tickLblPos val="nextTo"/>
        <c:crossAx val="346260224"/>
        <c:crosses val="autoZero"/>
        <c:auto val="1"/>
        <c:lblOffset val="100"/>
        <c:baseTimeUnit val="months"/>
      </c:dateAx>
      <c:valAx>
        <c:axId val="34626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62379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64774595483256"/>
          <c:y val="1.9230769230769232E-2"/>
          <c:w val="0.86129364598655955"/>
          <c:h val="0.80632054952921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accent4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Monatsdaten!$S$2:$S$13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7-DF49-8E71-EB4BF9D32518}"/>
            </c:ext>
          </c:extLst>
        </c:ser>
        <c:ser>
          <c:idx val="1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Monatsdaten!$S$14:$S$25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7-DF49-8E71-EB4BF9D32518}"/>
            </c:ext>
          </c:extLst>
        </c:ser>
        <c:ser>
          <c:idx val="2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Monatsdaten!$S$26:$S$37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6-0B42-9BBA-8222883F6B25}"/>
            </c:ext>
          </c:extLst>
        </c:ser>
        <c:ser>
          <c:idx val="3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Monatsdaten!$S$38:$S$49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6-0B42-9BBA-8222883F6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605440"/>
        <c:axId val="346606976"/>
      </c:barChart>
      <c:lineChart>
        <c:grouping val="standard"/>
        <c:varyColors val="0"/>
        <c:ser>
          <c:idx val="4"/>
          <c:order val="4"/>
          <c:tx>
            <c:strRef>
              <c:f>Monatsdaten!$DO$1</c:f>
              <c:strCache>
                <c:ptCount val="1"/>
                <c:pt idx="0">
                  <c:v>Mieter Haushaltsstrom Soll Verbrauch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Monatsdaten!$DO$2:$DO$13</c:f>
              <c:numCache>
                <c:formatCode>#,##0.0</c:formatCode>
                <c:ptCount val="12"/>
                <c:pt idx="0">
                  <c:v>250</c:v>
                </c:pt>
                <c:pt idx="1">
                  <c:v>250</c:v>
                </c:pt>
                <c:pt idx="2">
                  <c:v>250</c:v>
                </c:pt>
                <c:pt idx="3">
                  <c:v>250</c:v>
                </c:pt>
                <c:pt idx="4">
                  <c:v>250</c:v>
                </c:pt>
                <c:pt idx="5">
                  <c:v>250</c:v>
                </c:pt>
                <c:pt idx="6">
                  <c:v>250</c:v>
                </c:pt>
                <c:pt idx="7">
                  <c:v>250</c:v>
                </c:pt>
                <c:pt idx="8">
                  <c:v>250</c:v>
                </c:pt>
                <c:pt idx="9">
                  <c:v>250</c:v>
                </c:pt>
                <c:pt idx="10">
                  <c:v>250</c:v>
                </c:pt>
                <c:pt idx="11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4-1147-AB8C-EE1F2CB6D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605440"/>
        <c:axId val="346606976"/>
      </c:lineChart>
      <c:dateAx>
        <c:axId val="346605440"/>
        <c:scaling>
          <c:orientation val="minMax"/>
        </c:scaling>
        <c:delete val="1"/>
        <c:axPos val="b"/>
        <c:numFmt formatCode="[$-407]mmmm;@" sourceLinked="1"/>
        <c:majorTickMark val="none"/>
        <c:minorTickMark val="none"/>
        <c:tickLblPos val="nextTo"/>
        <c:crossAx val="346606976"/>
        <c:crosses val="autoZero"/>
        <c:auto val="1"/>
        <c:lblOffset val="100"/>
        <c:baseTimeUnit val="months"/>
      </c:dateAx>
      <c:valAx>
        <c:axId val="34660697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66054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30163537250149E-2"/>
          <c:y val="1.9230769230769232E-2"/>
          <c:w val="0.90171122840414175"/>
          <c:h val="0.76791132096250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accent4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Monatsdaten!$DM$2:$DM$13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0-C743-A5C1-2001F590C10F}"/>
            </c:ext>
          </c:extLst>
        </c:ser>
        <c:ser>
          <c:idx val="2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Monatsdaten!$DM$14:$DM$25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3-EB4A-A668-D2C57752E3C1}"/>
            </c:ext>
          </c:extLst>
        </c:ser>
        <c:ser>
          <c:idx val="3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val>
            <c:numRef>
              <c:f>Monatsdaten!$DM$26:$DM$37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03-EB4A-A668-D2C57752E3C1}"/>
            </c:ext>
          </c:extLst>
        </c:ser>
        <c:ser>
          <c:idx val="4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accent4">
                <a:tint val="54000"/>
              </a:schemeClr>
            </a:solidFill>
            <a:ln>
              <a:noFill/>
            </a:ln>
            <a:effectLst/>
          </c:spPr>
          <c:invertIfNegative val="0"/>
          <c:val>
            <c:numRef>
              <c:f>Monatsdaten!$DM$38:$DM$49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03-EB4A-A668-D2C57752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302144"/>
        <c:axId val="211165184"/>
      </c:barChart>
      <c:lineChart>
        <c:grouping val="standard"/>
        <c:varyColors val="0"/>
        <c:ser>
          <c:idx val="1"/>
          <c:order val="4"/>
          <c:tx>
            <c:strRef>
              <c:f>Monatsdaten!$DN$1</c:f>
              <c:strCache>
                <c:ptCount val="1"/>
                <c:pt idx="0">
                  <c:v>Mieter Haushaltsstrom
Verlauf Soll
Verbrauch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Monatsdaten!$DN$2:$DN$13</c:f>
              <c:numCache>
                <c:formatCode>#,##0.0</c:formatCode>
                <c:ptCount val="12"/>
                <c:pt idx="0">
                  <c:v>250</c:v>
                </c:pt>
                <c:pt idx="1">
                  <c:v>500</c:v>
                </c:pt>
                <c:pt idx="2">
                  <c:v>750</c:v>
                </c:pt>
                <c:pt idx="3">
                  <c:v>1000</c:v>
                </c:pt>
                <c:pt idx="4">
                  <c:v>1250</c:v>
                </c:pt>
                <c:pt idx="5">
                  <c:v>1500</c:v>
                </c:pt>
                <c:pt idx="6">
                  <c:v>1750</c:v>
                </c:pt>
                <c:pt idx="7">
                  <c:v>2000</c:v>
                </c:pt>
                <c:pt idx="8">
                  <c:v>2250</c:v>
                </c:pt>
                <c:pt idx="9">
                  <c:v>2500</c:v>
                </c:pt>
                <c:pt idx="10">
                  <c:v>2750</c:v>
                </c:pt>
                <c:pt idx="11">
                  <c:v>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B0-C743-A5C1-2001F590C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302144"/>
        <c:axId val="211165184"/>
      </c:lineChart>
      <c:dateAx>
        <c:axId val="411302144"/>
        <c:scaling>
          <c:orientation val="minMax"/>
        </c:scaling>
        <c:delete val="1"/>
        <c:axPos val="b"/>
        <c:numFmt formatCode="[$-407]mmmm\ yy;@" sourceLinked="1"/>
        <c:majorTickMark val="none"/>
        <c:minorTickMark val="none"/>
        <c:tickLblPos val="nextTo"/>
        <c:crossAx val="211165184"/>
        <c:crosses val="autoZero"/>
        <c:auto val="1"/>
        <c:lblOffset val="100"/>
        <c:baseTimeUnit val="months"/>
      </c:dateAx>
      <c:valAx>
        <c:axId val="21116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13021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92979723688385"/>
          <c:y val="1.9230769230769232E-2"/>
          <c:w val="0.86801159470450795"/>
          <c:h val="0.80632054952921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accent2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Monatsdaten!$U$2:$U$13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5-E445-BC70-F9E23ACF7F30}"/>
            </c:ext>
          </c:extLst>
        </c:ser>
        <c:ser>
          <c:idx val="1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Monatsdaten!$U$14:$U$25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5-E445-BC70-F9E23ACF7F30}"/>
            </c:ext>
          </c:extLst>
        </c:ser>
        <c:ser>
          <c:idx val="2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Monatsdaten!$U$26:$U$37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89-E540-9042-154D29DEC04B}"/>
            </c:ext>
          </c:extLst>
        </c:ser>
        <c:ser>
          <c:idx val="3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Monatsdaten!$U$38:$U$49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89-E540-9042-154D29DEC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952192"/>
        <c:axId val="212953728"/>
      </c:barChart>
      <c:lineChart>
        <c:grouping val="standard"/>
        <c:varyColors val="0"/>
        <c:ser>
          <c:idx val="4"/>
          <c:order val="4"/>
          <c:tx>
            <c:strRef>
              <c:f>Monatsdaten!$DR$1</c:f>
              <c:strCache>
                <c:ptCount val="1"/>
                <c:pt idx="0">
                  <c:v>Heiz Haushaltsstrom Soll Verbrauch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38100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A835-4A45-B7B8-BB71EE7F7E63}"/>
              </c:ext>
            </c:extLst>
          </c:dPt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Monatsdaten!$DR$2:$DR$13</c:f>
              <c:numCache>
                <c:formatCode>#,##0.0</c:formatCode>
                <c:ptCount val="12"/>
                <c:pt idx="0">
                  <c:v>950</c:v>
                </c:pt>
                <c:pt idx="1">
                  <c:v>800</c:v>
                </c:pt>
                <c:pt idx="2">
                  <c:v>850.00000000000011</c:v>
                </c:pt>
                <c:pt idx="3">
                  <c:v>1150</c:v>
                </c:pt>
                <c:pt idx="4">
                  <c:v>1350</c:v>
                </c:pt>
                <c:pt idx="5">
                  <c:v>1350</c:v>
                </c:pt>
                <c:pt idx="6">
                  <c:v>1250</c:v>
                </c:pt>
                <c:pt idx="7">
                  <c:v>1100</c:v>
                </c:pt>
                <c:pt idx="8">
                  <c:v>300</c:v>
                </c:pt>
                <c:pt idx="9">
                  <c:v>150</c:v>
                </c:pt>
                <c:pt idx="10">
                  <c:v>150</c:v>
                </c:pt>
                <c:pt idx="11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5-C24F-88C5-133774A2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2192"/>
        <c:axId val="212953728"/>
      </c:lineChart>
      <c:dateAx>
        <c:axId val="212952192"/>
        <c:scaling>
          <c:orientation val="minMax"/>
        </c:scaling>
        <c:delete val="1"/>
        <c:axPos val="b"/>
        <c:numFmt formatCode="[$-407]mmmm;@" sourceLinked="1"/>
        <c:majorTickMark val="none"/>
        <c:minorTickMark val="none"/>
        <c:tickLblPos val="nextTo"/>
        <c:crossAx val="212953728"/>
        <c:crosses val="autoZero"/>
        <c:auto val="1"/>
        <c:lblOffset val="100"/>
        <c:baseTimeUnit val="months"/>
      </c:dateAx>
      <c:valAx>
        <c:axId val="21295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952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69357676444295E-2"/>
          <c:y val="1.9230769230769232E-2"/>
          <c:w val="0.90757203426494759"/>
          <c:h val="0.76791132096250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accent2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Monatsdaten!$DP$2:$DP$13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FA-4646-95C8-546B208C71FC}"/>
            </c:ext>
          </c:extLst>
        </c:ser>
        <c:ser>
          <c:idx val="2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Monatsdaten!$DP$14:$DP$25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6-8C40-A2D8-BE3CC3725ECA}"/>
            </c:ext>
          </c:extLst>
        </c:ser>
        <c:ser>
          <c:idx val="3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val>
            <c:numRef>
              <c:f>Monatsdaten!$DP$26:$DP$37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C6-8C40-A2D8-BE3CC3725ECA}"/>
            </c:ext>
          </c:extLst>
        </c:ser>
        <c:ser>
          <c:idx val="4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accent2">
                <a:tint val="54000"/>
              </a:schemeClr>
            </a:solidFill>
            <a:ln>
              <a:noFill/>
            </a:ln>
            <a:effectLst/>
          </c:spPr>
          <c:invertIfNegative val="0"/>
          <c:val>
            <c:numRef>
              <c:f>Monatsdaten!$DP$38:$DP$49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C6-8C40-A2D8-BE3CC3725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067264"/>
        <c:axId val="213068800"/>
      </c:barChart>
      <c:lineChart>
        <c:grouping val="standard"/>
        <c:varyColors val="0"/>
        <c:ser>
          <c:idx val="1"/>
          <c:order val="4"/>
          <c:tx>
            <c:strRef>
              <c:f>Monatsdaten!$DQ$1</c:f>
              <c:strCache>
                <c:ptCount val="1"/>
                <c:pt idx="0">
                  <c:v>Heiz Haushaltsstrom
Verlauf Soll
Verbrauch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Monatsdaten!$B$2:$B$13</c:f>
              <c:numCache>
                <c:formatCode>[$-407]mmmm\ yy;@</c:formatCode>
                <c:ptCount val="12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</c:numCache>
            </c:numRef>
          </c:cat>
          <c:val>
            <c:numRef>
              <c:f>Monatsdaten!$DQ$2:$DQ$13</c:f>
              <c:numCache>
                <c:formatCode>#,##0.0</c:formatCode>
                <c:ptCount val="12"/>
                <c:pt idx="0">
                  <c:v>950</c:v>
                </c:pt>
                <c:pt idx="1">
                  <c:v>1750</c:v>
                </c:pt>
                <c:pt idx="2">
                  <c:v>2600</c:v>
                </c:pt>
                <c:pt idx="3">
                  <c:v>3750</c:v>
                </c:pt>
                <c:pt idx="4">
                  <c:v>5100</c:v>
                </c:pt>
                <c:pt idx="5">
                  <c:v>6450</c:v>
                </c:pt>
                <c:pt idx="6">
                  <c:v>7700</c:v>
                </c:pt>
                <c:pt idx="7">
                  <c:v>8800</c:v>
                </c:pt>
                <c:pt idx="8">
                  <c:v>9100</c:v>
                </c:pt>
                <c:pt idx="9">
                  <c:v>9250</c:v>
                </c:pt>
                <c:pt idx="10">
                  <c:v>9400</c:v>
                </c:pt>
                <c:pt idx="11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A-4646-95C8-546B208C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67264"/>
        <c:axId val="213068800"/>
      </c:lineChart>
      <c:dateAx>
        <c:axId val="213067264"/>
        <c:scaling>
          <c:orientation val="minMax"/>
        </c:scaling>
        <c:delete val="1"/>
        <c:axPos val="b"/>
        <c:numFmt formatCode="[$-407]mmmm\ yy;@" sourceLinked="1"/>
        <c:majorTickMark val="none"/>
        <c:minorTickMark val="none"/>
        <c:tickLblPos val="nextTo"/>
        <c:crossAx val="213068800"/>
        <c:crosses val="autoZero"/>
        <c:auto val="1"/>
        <c:lblOffset val="100"/>
        <c:baseTimeUnit val="months"/>
      </c:dateAx>
      <c:valAx>
        <c:axId val="21306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30672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Jahresdaten!$J$1</c:f>
              <c:strCache>
                <c:ptCount val="1"/>
                <c:pt idx="0">
                  <c:v>Wärmeenergie (Holz)</c:v>
                </c:pt>
              </c:strCache>
            </c:strRef>
          </c:tx>
          <c:spPr>
            <a:solidFill>
              <a:srgbClr val="AB794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CB2-9A40-A796-AC9ACB52F1F0}"/>
              </c:ext>
            </c:extLst>
          </c:dPt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Jahresdaten!$J$2:$J$11</c:f>
              <c:numCache>
                <c:formatCode>#,##0.0</c:formatCode>
                <c:ptCount val="10"/>
                <c:pt idx="2">
                  <c:v>3010</c:v>
                </c:pt>
                <c:pt idx="3">
                  <c:v>19565</c:v>
                </c:pt>
                <c:pt idx="4">
                  <c:v>19565</c:v>
                </c:pt>
                <c:pt idx="5">
                  <c:v>22575</c:v>
                </c:pt>
                <c:pt idx="6">
                  <c:v>22575</c:v>
                </c:pt>
                <c:pt idx="7">
                  <c:v>21070</c:v>
                </c:pt>
                <c:pt idx="8">
                  <c:v>18060</c:v>
                </c:pt>
                <c:pt idx="9">
                  <c:v>18060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B2-9A40-A796-AC9ACB52F1F0}"/>
            </c:ext>
          </c:extLst>
        </c:ser>
        <c:ser>
          <c:idx val="1"/>
          <c:order val="1"/>
          <c:tx>
            <c:strRef>
              <c:f>Jahresdaten!$F$1</c:f>
              <c:strCache>
                <c:ptCount val="1"/>
                <c:pt idx="0">
                  <c:v>Wärmeenergie (Strom)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Jahresdaten!$F$2:$F$11</c:f>
              <c:numCache>
                <c:formatCode>#,##0.0</c:formatCode>
                <c:ptCount val="10"/>
                <c:pt idx="0">
                  <c:v>51948.6</c:v>
                </c:pt>
                <c:pt idx="1">
                  <c:v>43446.9</c:v>
                </c:pt>
                <c:pt idx="2">
                  <c:v>40583.42</c:v>
                </c:pt>
                <c:pt idx="3">
                  <c:v>24053.98</c:v>
                </c:pt>
                <c:pt idx="4">
                  <c:v>24749.279999999999</c:v>
                </c:pt>
                <c:pt idx="5">
                  <c:v>23208.059999999998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B2-9A40-A796-AC9ACB52F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axId val="213158912"/>
        <c:axId val="213164800"/>
      </c:barChart>
      <c:lineChart>
        <c:grouping val="standard"/>
        <c:varyColors val="0"/>
        <c:ser>
          <c:idx val="2"/>
          <c:order val="2"/>
          <c:tx>
            <c:strRef>
              <c:f>Jahresdaten!$B$1</c:f>
              <c:strCache>
                <c:ptCount val="1"/>
                <c:pt idx="0">
                  <c:v>Heizverbrauch</c:v>
                </c:pt>
              </c:strCache>
            </c:strRef>
          </c:tx>
          <c:spPr>
            <a:ln w="6350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Jahresdaten!$B$2:$B$11</c:f>
              <c:numCache>
                <c:formatCode>#,##0.0</c:formatCode>
                <c:ptCount val="10"/>
                <c:pt idx="0">
                  <c:v>51948.6</c:v>
                </c:pt>
                <c:pt idx="1">
                  <c:v>43446.9</c:v>
                </c:pt>
                <c:pt idx="2">
                  <c:v>43593.42</c:v>
                </c:pt>
                <c:pt idx="3">
                  <c:v>43618.979999999996</c:v>
                </c:pt>
                <c:pt idx="4">
                  <c:v>44314.28</c:v>
                </c:pt>
                <c:pt idx="5">
                  <c:v>45783.06</c:v>
                </c:pt>
                <c:pt idx="6">
                  <c:v>22575</c:v>
                </c:pt>
                <c:pt idx="7">
                  <c:v>21070</c:v>
                </c:pt>
                <c:pt idx="8">
                  <c:v>18060</c:v>
                </c:pt>
                <c:pt idx="9">
                  <c:v>18060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CB2-9A40-A796-AC9ACB52F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58912"/>
        <c:axId val="213164800"/>
      </c:lineChart>
      <c:catAx>
        <c:axId val="213158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3164800"/>
        <c:crosses val="autoZero"/>
        <c:auto val="1"/>
        <c:lblAlgn val="ctr"/>
        <c:lblOffset val="100"/>
        <c:noMultiLvlLbl val="0"/>
      </c:catAx>
      <c:valAx>
        <c:axId val="2131648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31589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Jahresdaten!$L$1</c:f>
              <c:strCache>
                <c:ptCount val="1"/>
                <c:pt idx="0">
                  <c:v>Holzkosten</c:v>
                </c:pt>
              </c:strCache>
            </c:strRef>
          </c:tx>
          <c:spPr>
            <a:solidFill>
              <a:srgbClr val="AB794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BB7-8A42-9BB5-C2B7A778EB48}"/>
              </c:ext>
            </c:extLst>
          </c:dPt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Jahresdaten!$L$2:$L$11</c:f>
              <c:numCache>
                <c:formatCode>#,##0.00\ "€"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3">
                  <c:v>1180</c:v>
                </c:pt>
                <c:pt idx="4">
                  <c:v>1180</c:v>
                </c:pt>
                <c:pt idx="5">
                  <c:v>1360</c:v>
                </c:pt>
                <c:pt idx="6">
                  <c:v>1360</c:v>
                </c:pt>
                <c:pt idx="7">
                  <c:v>1368</c:v>
                </c:pt>
                <c:pt idx="8">
                  <c:v>1169</c:v>
                </c:pt>
                <c:pt idx="9">
                  <c:v>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B7-8A42-9BB5-C2B7A778EB48}"/>
            </c:ext>
          </c:extLst>
        </c:ser>
        <c:ser>
          <c:idx val="1"/>
          <c:order val="1"/>
          <c:tx>
            <c:strRef>
              <c:f>Jahresdaten!$H$1</c:f>
              <c:strCache>
                <c:ptCount val="1"/>
                <c:pt idx="0">
                  <c:v>Stromkosten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Jahresdaten!$H$2:$H$11</c:f>
              <c:numCache>
                <c:formatCode>#,##0.00\ "€"</c:formatCode>
                <c:ptCount val="10"/>
                <c:pt idx="0">
                  <c:v>3387.5007000000001</c:v>
                </c:pt>
                <c:pt idx="1">
                  <c:v>2830.5542500000001</c:v>
                </c:pt>
                <c:pt idx="2">
                  <c:v>2590.6119700000004</c:v>
                </c:pt>
                <c:pt idx="3">
                  <c:v>1484.3844699999995</c:v>
                </c:pt>
                <c:pt idx="4">
                  <c:v>1483.0408800000002</c:v>
                </c:pt>
                <c:pt idx="5">
                  <c:v>1397.4125099999997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B7-8A42-9BB5-C2B7A778E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axId val="213158912"/>
        <c:axId val="213164800"/>
      </c:barChart>
      <c:lineChart>
        <c:grouping val="standard"/>
        <c:varyColors val="0"/>
        <c:ser>
          <c:idx val="2"/>
          <c:order val="2"/>
          <c:tx>
            <c:strRef>
              <c:f>Jahresdaten!$C$1</c:f>
              <c:strCache>
                <c:ptCount val="1"/>
                <c:pt idx="0">
                  <c:v>Heizkosten</c:v>
                </c:pt>
              </c:strCache>
            </c:strRef>
          </c:tx>
          <c:spPr>
            <a:ln w="635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Jahresdaten!$C$2:$C$11</c:f>
              <c:numCache>
                <c:formatCode>#,##0.00\ "€"</c:formatCode>
                <c:ptCount val="10"/>
                <c:pt idx="0">
                  <c:v>3387.5007000000001</c:v>
                </c:pt>
                <c:pt idx="1">
                  <c:v>2830.5542500000001</c:v>
                </c:pt>
                <c:pt idx="2">
                  <c:v>2840.6119700000004</c:v>
                </c:pt>
                <c:pt idx="3">
                  <c:v>2834.3844699999995</c:v>
                </c:pt>
                <c:pt idx="4">
                  <c:v>2563.0408800000005</c:v>
                </c:pt>
                <c:pt idx="5">
                  <c:v>2657.4125099999997</c:v>
                </c:pt>
                <c:pt idx="6">
                  <c:v>1360</c:v>
                </c:pt>
                <c:pt idx="7">
                  <c:v>1368</c:v>
                </c:pt>
                <c:pt idx="8">
                  <c:v>1169</c:v>
                </c:pt>
                <c:pt idx="9">
                  <c:v>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B7-8A42-9BB5-C2B7A778EB48}"/>
            </c:ext>
          </c:extLst>
        </c:ser>
        <c:ser>
          <c:idx val="6"/>
          <c:order val="3"/>
          <c:tx>
            <c:strRef>
              <c:f>Jahresdaten!$O$1</c:f>
              <c:strCache>
                <c:ptCount val="1"/>
                <c:pt idx="0">
                  <c:v>Heizkosten nur Holz</c:v>
                </c:pt>
              </c:strCache>
            </c:strRef>
          </c:tx>
          <c:spPr>
            <a:ln w="12700" cap="rnd">
              <a:solidFill>
                <a:srgbClr val="AB7942"/>
              </a:solidFill>
              <a:round/>
            </a:ln>
            <a:effectLst/>
          </c:spPr>
          <c:marker>
            <c:symbol val="none"/>
          </c:marker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Jahresdaten!$O$2:$O$11</c:f>
              <c:numCache>
                <c:formatCode>#,##0.00\ "€"</c:formatCode>
                <c:ptCount val="10"/>
                <c:pt idx="2">
                  <c:v>2606.9154817275748</c:v>
                </c:pt>
                <c:pt idx="3">
                  <c:v>2630.7383797597749</c:v>
                </c:pt>
                <c:pt idx="4">
                  <c:v>2672.6731612573471</c:v>
                </c:pt>
                <c:pt idx="5">
                  <c:v>2758.1378338870431</c:v>
                </c:pt>
                <c:pt idx="6">
                  <c:v>1360</c:v>
                </c:pt>
                <c:pt idx="7">
                  <c:v>1368</c:v>
                </c:pt>
                <c:pt idx="8">
                  <c:v>1169</c:v>
                </c:pt>
                <c:pt idx="9">
                  <c:v>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1F-2343-A24F-527DFEEA9B9F}"/>
            </c:ext>
          </c:extLst>
        </c:ser>
        <c:ser>
          <c:idx val="7"/>
          <c:order val="4"/>
          <c:tx>
            <c:strRef>
              <c:f>Jahresdaten!$P$1</c:f>
              <c:strCache>
                <c:ptCount val="1"/>
                <c:pt idx="0">
                  <c:v>Heizkosten nur Strom</c:v>
                </c:pt>
              </c:strCache>
            </c:strRef>
          </c:tx>
          <c:spPr>
            <a:ln w="12700" cap="rnd">
              <a:solidFill>
                <a:srgbClr val="FF2600"/>
              </a:solidFill>
              <a:round/>
            </a:ln>
            <a:effectLst/>
          </c:spPr>
          <c:marker>
            <c:symbol val="none"/>
          </c:marker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Jahresdaten!$P$2:$P$11</c:f>
              <c:numCache>
                <c:formatCode>#,##0.00\ "€"</c:formatCode>
                <c:ptCount val="10"/>
                <c:pt idx="2">
                  <c:v>3301.5604852941178</c:v>
                </c:pt>
                <c:pt idx="3">
                  <c:v>3303.4962794117646</c:v>
                </c:pt>
                <c:pt idx="4">
                  <c:v>3356.1550294117646</c:v>
                </c:pt>
                <c:pt idx="5">
                  <c:v>3467.3935147058824</c:v>
                </c:pt>
                <c:pt idx="6">
                  <c:v>1748.4558823529414</c:v>
                </c:pt>
                <c:pt idx="7">
                  <c:v>1657.7132352941178</c:v>
                </c:pt>
                <c:pt idx="8">
                  <c:v>1420.8970588235295</c:v>
                </c:pt>
                <c:pt idx="9">
                  <c:v>1420.8970588235295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1F-2343-A24F-527DFEEA9B9F}"/>
            </c:ext>
          </c:extLst>
        </c:ser>
        <c:ser>
          <c:idx val="8"/>
          <c:order val="5"/>
          <c:tx>
            <c:strRef>
              <c:f>Jahresdaten!$Q$1</c:f>
              <c:strCache>
                <c:ptCount val="1"/>
                <c:pt idx="0">
                  <c:v>Heizkosten nur PV Heizstrom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Jahresdaten!$Q$2:$Q$11</c:f>
              <c:numCache>
                <c:formatCode>#,##0.00\ "€"</c:formatCode>
                <c:ptCount val="10"/>
                <c:pt idx="2">
                  <c:v>1470.6368452941176</c:v>
                </c:pt>
                <c:pt idx="3">
                  <c:v>1471.4991194117647</c:v>
                </c:pt>
                <c:pt idx="4">
                  <c:v>1494.9552694117647</c:v>
                </c:pt>
                <c:pt idx="5">
                  <c:v>1544.5049947058822</c:v>
                </c:pt>
                <c:pt idx="6">
                  <c:v>761.57426470588234</c:v>
                </c:pt>
                <c:pt idx="7">
                  <c:v>679.39707089142883</c:v>
                </c:pt>
                <c:pt idx="8">
                  <c:v>536.36319951703604</c:v>
                </c:pt>
                <c:pt idx="9">
                  <c:v>517.25659724176774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1F-2343-A24F-527DFEEA9B9F}"/>
            </c:ext>
          </c:extLst>
        </c:ser>
        <c:ser>
          <c:idx val="9"/>
          <c:order val="6"/>
          <c:tx>
            <c:strRef>
              <c:f>Jahresdaten!$R$1</c:f>
              <c:strCache>
                <c:ptCount val="1"/>
                <c:pt idx="0">
                  <c:v>Heizkosten nur eON Heizstrom</c:v>
                </c:pt>
              </c:strCache>
            </c:strRef>
          </c:tx>
          <c:spPr>
            <a:ln w="12700" cap="rnd">
              <a:solidFill>
                <a:srgbClr val="FF2600"/>
              </a:solidFill>
              <a:round/>
            </a:ln>
            <a:effectLst/>
          </c:spPr>
          <c:marker>
            <c:symbol val="none"/>
          </c:marker>
          <c:cat>
            <c:strRef>
              <c:f>Jahresdaten!$A$2:$A$11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Jahresdaten!$R$2:$R$11</c:f>
              <c:numCache>
                <c:formatCode>#,##0.00\ "€"</c:formatCode>
                <c:ptCount val="10"/>
                <c:pt idx="2">
                  <c:v>2529.9991288235296</c:v>
                </c:pt>
                <c:pt idx="3">
                  <c:v>2531.419212352941</c:v>
                </c:pt>
                <c:pt idx="4">
                  <c:v>2570.0492623529412</c:v>
                </c:pt>
                <c:pt idx="5">
                  <c:v>2651.6529511764707</c:v>
                </c:pt>
                <c:pt idx="6">
                  <c:v>1362.240441176471</c:v>
                </c:pt>
                <c:pt idx="7">
                  <c:v>1451.5794117647058</c:v>
                </c:pt>
                <c:pt idx="8">
                  <c:v>1264.7823529411764</c:v>
                </c:pt>
                <c:pt idx="9">
                  <c:v>1264.7823529411764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1F-2343-A24F-527DFEEA9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58912"/>
        <c:axId val="213164800"/>
      </c:lineChart>
      <c:catAx>
        <c:axId val="213158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3164800"/>
        <c:crosses val="autoZero"/>
        <c:auto val="1"/>
        <c:lblAlgn val="ctr"/>
        <c:lblOffset val="100"/>
        <c:noMultiLvlLbl val="0"/>
      </c:catAx>
      <c:valAx>
        <c:axId val="2131648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31589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chemeClr val="bg1"/>
        </a:solidFill>
        <a:ln>
          <a:noFill/>
          <a:prstDash val="solid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2"/>
          <c:tx>
            <c:strRef>
              <c:f>Monatsdaten!$BO$1</c:f>
              <c:strCache>
                <c:ptCount val="1"/>
                <c:pt idx="0">
                  <c:v>Eigen, Heiz &amp; Mobilität Differenz o. Kosten</c:v>
                </c:pt>
              </c:strCache>
            </c:strRef>
          </c:tx>
          <c:spPr>
            <a:gradFill>
              <a:gsLst>
                <a:gs pos="0">
                  <a:schemeClr val="dk1">
                    <a:tint val="55000"/>
                  </a:schemeClr>
                </a:gs>
                <a:gs pos="100000">
                  <a:schemeClr val="dk1">
                    <a:tint val="55000"/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numRef>
              <c:f>Monatsdaten!$B$2:$B$301</c:f>
              <c:numCache>
                <c:formatCode>[$-407]mmmm\ yy;@</c:formatCode>
                <c:ptCount val="300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  <c:pt idx="48">
                  <c:v>44835</c:v>
                </c:pt>
                <c:pt idx="49">
                  <c:v>44866</c:v>
                </c:pt>
                <c:pt idx="50">
                  <c:v>44896</c:v>
                </c:pt>
                <c:pt idx="51">
                  <c:v>44927</c:v>
                </c:pt>
                <c:pt idx="52">
                  <c:v>44958</c:v>
                </c:pt>
                <c:pt idx="53">
                  <c:v>44986</c:v>
                </c:pt>
                <c:pt idx="54">
                  <c:v>45017</c:v>
                </c:pt>
                <c:pt idx="55">
                  <c:v>45047</c:v>
                </c:pt>
                <c:pt idx="56">
                  <c:v>45078</c:v>
                </c:pt>
                <c:pt idx="57">
                  <c:v>45108</c:v>
                </c:pt>
                <c:pt idx="58">
                  <c:v>45139</c:v>
                </c:pt>
                <c:pt idx="59">
                  <c:v>45170</c:v>
                </c:pt>
                <c:pt idx="60">
                  <c:v>45200</c:v>
                </c:pt>
                <c:pt idx="61">
                  <c:v>45231</c:v>
                </c:pt>
                <c:pt idx="62">
                  <c:v>45261</c:v>
                </c:pt>
                <c:pt idx="63">
                  <c:v>45292</c:v>
                </c:pt>
                <c:pt idx="64">
                  <c:v>45323</c:v>
                </c:pt>
                <c:pt idx="65">
                  <c:v>45352</c:v>
                </c:pt>
                <c:pt idx="66">
                  <c:v>45383</c:v>
                </c:pt>
                <c:pt idx="67">
                  <c:v>45413</c:v>
                </c:pt>
                <c:pt idx="68">
                  <c:v>45444</c:v>
                </c:pt>
                <c:pt idx="69">
                  <c:v>45474</c:v>
                </c:pt>
                <c:pt idx="70">
                  <c:v>45505</c:v>
                </c:pt>
                <c:pt idx="71">
                  <c:v>45536</c:v>
                </c:pt>
                <c:pt idx="72">
                  <c:v>45566</c:v>
                </c:pt>
                <c:pt idx="73">
                  <c:v>45597</c:v>
                </c:pt>
                <c:pt idx="74">
                  <c:v>45627</c:v>
                </c:pt>
                <c:pt idx="75">
                  <c:v>45658</c:v>
                </c:pt>
                <c:pt idx="76">
                  <c:v>45689</c:v>
                </c:pt>
                <c:pt idx="77">
                  <c:v>45717</c:v>
                </c:pt>
                <c:pt idx="78">
                  <c:v>45748</c:v>
                </c:pt>
                <c:pt idx="79">
                  <c:v>45778</c:v>
                </c:pt>
                <c:pt idx="80">
                  <c:v>45809</c:v>
                </c:pt>
                <c:pt idx="81">
                  <c:v>45839</c:v>
                </c:pt>
                <c:pt idx="82">
                  <c:v>45870</c:v>
                </c:pt>
                <c:pt idx="83">
                  <c:v>45901</c:v>
                </c:pt>
                <c:pt idx="84">
                  <c:v>45931</c:v>
                </c:pt>
                <c:pt idx="85">
                  <c:v>45962</c:v>
                </c:pt>
                <c:pt idx="86">
                  <c:v>45992</c:v>
                </c:pt>
                <c:pt idx="87">
                  <c:v>46023</c:v>
                </c:pt>
                <c:pt idx="88">
                  <c:v>46054</c:v>
                </c:pt>
                <c:pt idx="89">
                  <c:v>46082</c:v>
                </c:pt>
                <c:pt idx="90">
                  <c:v>46113</c:v>
                </c:pt>
                <c:pt idx="91">
                  <c:v>46143</c:v>
                </c:pt>
                <c:pt idx="92">
                  <c:v>46174</c:v>
                </c:pt>
                <c:pt idx="93">
                  <c:v>46204</c:v>
                </c:pt>
                <c:pt idx="94">
                  <c:v>46235</c:v>
                </c:pt>
                <c:pt idx="95">
                  <c:v>46266</c:v>
                </c:pt>
                <c:pt idx="96">
                  <c:v>46296</c:v>
                </c:pt>
                <c:pt idx="97">
                  <c:v>46327</c:v>
                </c:pt>
                <c:pt idx="98">
                  <c:v>46357</c:v>
                </c:pt>
                <c:pt idx="99">
                  <c:v>46388</c:v>
                </c:pt>
                <c:pt idx="100">
                  <c:v>46419</c:v>
                </c:pt>
                <c:pt idx="101">
                  <c:v>46447</c:v>
                </c:pt>
                <c:pt idx="102">
                  <c:v>46478</c:v>
                </c:pt>
                <c:pt idx="103">
                  <c:v>46508</c:v>
                </c:pt>
                <c:pt idx="104">
                  <c:v>46539</c:v>
                </c:pt>
                <c:pt idx="105">
                  <c:v>46569</c:v>
                </c:pt>
                <c:pt idx="106">
                  <c:v>46600</c:v>
                </c:pt>
                <c:pt idx="107">
                  <c:v>46631</c:v>
                </c:pt>
                <c:pt idx="108">
                  <c:v>46661</c:v>
                </c:pt>
                <c:pt idx="109">
                  <c:v>46692</c:v>
                </c:pt>
                <c:pt idx="110">
                  <c:v>46722</c:v>
                </c:pt>
                <c:pt idx="111">
                  <c:v>46753</c:v>
                </c:pt>
                <c:pt idx="112">
                  <c:v>46784</c:v>
                </c:pt>
                <c:pt idx="113">
                  <c:v>46813</c:v>
                </c:pt>
                <c:pt idx="114">
                  <c:v>46844</c:v>
                </c:pt>
                <c:pt idx="115">
                  <c:v>46874</c:v>
                </c:pt>
                <c:pt idx="116">
                  <c:v>46905</c:v>
                </c:pt>
                <c:pt idx="117">
                  <c:v>46935</c:v>
                </c:pt>
                <c:pt idx="118">
                  <c:v>46966</c:v>
                </c:pt>
                <c:pt idx="119">
                  <c:v>46997</c:v>
                </c:pt>
                <c:pt idx="120">
                  <c:v>47027</c:v>
                </c:pt>
                <c:pt idx="121">
                  <c:v>47058</c:v>
                </c:pt>
                <c:pt idx="122">
                  <c:v>47088</c:v>
                </c:pt>
                <c:pt idx="123">
                  <c:v>47119</c:v>
                </c:pt>
                <c:pt idx="124">
                  <c:v>47150</c:v>
                </c:pt>
                <c:pt idx="125">
                  <c:v>47178</c:v>
                </c:pt>
                <c:pt idx="126">
                  <c:v>47209</c:v>
                </c:pt>
                <c:pt idx="127">
                  <c:v>47239</c:v>
                </c:pt>
                <c:pt idx="128">
                  <c:v>47270</c:v>
                </c:pt>
                <c:pt idx="129">
                  <c:v>47300</c:v>
                </c:pt>
                <c:pt idx="130">
                  <c:v>47331</c:v>
                </c:pt>
                <c:pt idx="131">
                  <c:v>47362</c:v>
                </c:pt>
                <c:pt idx="132">
                  <c:v>47392</c:v>
                </c:pt>
                <c:pt idx="133">
                  <c:v>47423</c:v>
                </c:pt>
                <c:pt idx="134">
                  <c:v>47453</c:v>
                </c:pt>
                <c:pt idx="135">
                  <c:v>47484</c:v>
                </c:pt>
                <c:pt idx="136">
                  <c:v>47515</c:v>
                </c:pt>
                <c:pt idx="137">
                  <c:v>47543</c:v>
                </c:pt>
                <c:pt idx="138">
                  <c:v>47574</c:v>
                </c:pt>
                <c:pt idx="139">
                  <c:v>47604</c:v>
                </c:pt>
                <c:pt idx="140">
                  <c:v>47635</c:v>
                </c:pt>
                <c:pt idx="141">
                  <c:v>47665</c:v>
                </c:pt>
                <c:pt idx="142">
                  <c:v>47696</c:v>
                </c:pt>
                <c:pt idx="143">
                  <c:v>47727</c:v>
                </c:pt>
                <c:pt idx="144">
                  <c:v>47757</c:v>
                </c:pt>
                <c:pt idx="145">
                  <c:v>47788</c:v>
                </c:pt>
                <c:pt idx="146">
                  <c:v>47818</c:v>
                </c:pt>
                <c:pt idx="147">
                  <c:v>47849</c:v>
                </c:pt>
                <c:pt idx="148">
                  <c:v>47880</c:v>
                </c:pt>
                <c:pt idx="149">
                  <c:v>47908</c:v>
                </c:pt>
                <c:pt idx="150">
                  <c:v>47939</c:v>
                </c:pt>
                <c:pt idx="151">
                  <c:v>47969</c:v>
                </c:pt>
                <c:pt idx="152">
                  <c:v>48000</c:v>
                </c:pt>
                <c:pt idx="153">
                  <c:v>48030</c:v>
                </c:pt>
                <c:pt idx="154">
                  <c:v>48061</c:v>
                </c:pt>
                <c:pt idx="155">
                  <c:v>48092</c:v>
                </c:pt>
                <c:pt idx="156">
                  <c:v>48122</c:v>
                </c:pt>
                <c:pt idx="157">
                  <c:v>48153</c:v>
                </c:pt>
                <c:pt idx="158">
                  <c:v>48183</c:v>
                </c:pt>
                <c:pt idx="159">
                  <c:v>48214</c:v>
                </c:pt>
                <c:pt idx="160">
                  <c:v>48245</c:v>
                </c:pt>
                <c:pt idx="161">
                  <c:v>48274</c:v>
                </c:pt>
                <c:pt idx="162">
                  <c:v>48305</c:v>
                </c:pt>
                <c:pt idx="163">
                  <c:v>48335</c:v>
                </c:pt>
                <c:pt idx="164">
                  <c:v>48366</c:v>
                </c:pt>
                <c:pt idx="165">
                  <c:v>48396</c:v>
                </c:pt>
                <c:pt idx="166">
                  <c:v>48427</c:v>
                </c:pt>
                <c:pt idx="167">
                  <c:v>48458</c:v>
                </c:pt>
                <c:pt idx="168">
                  <c:v>48488</c:v>
                </c:pt>
                <c:pt idx="169">
                  <c:v>48519</c:v>
                </c:pt>
                <c:pt idx="170">
                  <c:v>48549</c:v>
                </c:pt>
                <c:pt idx="171">
                  <c:v>48580</c:v>
                </c:pt>
                <c:pt idx="172">
                  <c:v>48611</c:v>
                </c:pt>
                <c:pt idx="173">
                  <c:v>48639</c:v>
                </c:pt>
                <c:pt idx="174">
                  <c:v>48670</c:v>
                </c:pt>
                <c:pt idx="175">
                  <c:v>48700</c:v>
                </c:pt>
                <c:pt idx="176">
                  <c:v>48731</c:v>
                </c:pt>
                <c:pt idx="177">
                  <c:v>48761</c:v>
                </c:pt>
                <c:pt idx="178">
                  <c:v>48792</c:v>
                </c:pt>
                <c:pt idx="179">
                  <c:v>48823</c:v>
                </c:pt>
                <c:pt idx="180">
                  <c:v>48853</c:v>
                </c:pt>
                <c:pt idx="181">
                  <c:v>48884</c:v>
                </c:pt>
                <c:pt idx="182">
                  <c:v>48914</c:v>
                </c:pt>
                <c:pt idx="183">
                  <c:v>48945</c:v>
                </c:pt>
                <c:pt idx="184">
                  <c:v>48976</c:v>
                </c:pt>
                <c:pt idx="185">
                  <c:v>49004</c:v>
                </c:pt>
                <c:pt idx="186">
                  <c:v>49035</c:v>
                </c:pt>
                <c:pt idx="187">
                  <c:v>49065</c:v>
                </c:pt>
                <c:pt idx="188">
                  <c:v>49096</c:v>
                </c:pt>
                <c:pt idx="189">
                  <c:v>49126</c:v>
                </c:pt>
                <c:pt idx="190">
                  <c:v>49157</c:v>
                </c:pt>
                <c:pt idx="191">
                  <c:v>49188</c:v>
                </c:pt>
                <c:pt idx="192">
                  <c:v>49218</c:v>
                </c:pt>
                <c:pt idx="193">
                  <c:v>49249</c:v>
                </c:pt>
                <c:pt idx="194">
                  <c:v>49279</c:v>
                </c:pt>
                <c:pt idx="195">
                  <c:v>49310</c:v>
                </c:pt>
                <c:pt idx="196">
                  <c:v>49341</c:v>
                </c:pt>
                <c:pt idx="197">
                  <c:v>49369</c:v>
                </c:pt>
                <c:pt idx="198">
                  <c:v>49400</c:v>
                </c:pt>
                <c:pt idx="199">
                  <c:v>49430</c:v>
                </c:pt>
                <c:pt idx="200">
                  <c:v>49461</c:v>
                </c:pt>
                <c:pt idx="201">
                  <c:v>49491</c:v>
                </c:pt>
                <c:pt idx="202">
                  <c:v>49522</c:v>
                </c:pt>
                <c:pt idx="203">
                  <c:v>49553</c:v>
                </c:pt>
                <c:pt idx="204">
                  <c:v>49583</c:v>
                </c:pt>
                <c:pt idx="205">
                  <c:v>49614</c:v>
                </c:pt>
                <c:pt idx="206">
                  <c:v>49644</c:v>
                </c:pt>
                <c:pt idx="207">
                  <c:v>49675</c:v>
                </c:pt>
                <c:pt idx="208">
                  <c:v>49706</c:v>
                </c:pt>
                <c:pt idx="209">
                  <c:v>49735</c:v>
                </c:pt>
                <c:pt idx="210">
                  <c:v>49766</c:v>
                </c:pt>
                <c:pt idx="211">
                  <c:v>49796</c:v>
                </c:pt>
                <c:pt idx="212">
                  <c:v>49827</c:v>
                </c:pt>
                <c:pt idx="213">
                  <c:v>49857</c:v>
                </c:pt>
                <c:pt idx="214">
                  <c:v>49888</c:v>
                </c:pt>
                <c:pt idx="215">
                  <c:v>49919</c:v>
                </c:pt>
                <c:pt idx="216">
                  <c:v>49949</c:v>
                </c:pt>
                <c:pt idx="217">
                  <c:v>49980</c:v>
                </c:pt>
                <c:pt idx="218">
                  <c:v>50010</c:v>
                </c:pt>
                <c:pt idx="219">
                  <c:v>50041</c:v>
                </c:pt>
                <c:pt idx="220">
                  <c:v>50072</c:v>
                </c:pt>
                <c:pt idx="221">
                  <c:v>50100</c:v>
                </c:pt>
                <c:pt idx="222">
                  <c:v>50131</c:v>
                </c:pt>
                <c:pt idx="223">
                  <c:v>50161</c:v>
                </c:pt>
                <c:pt idx="224">
                  <c:v>50192</c:v>
                </c:pt>
                <c:pt idx="225">
                  <c:v>50222</c:v>
                </c:pt>
                <c:pt idx="226">
                  <c:v>50253</c:v>
                </c:pt>
                <c:pt idx="227">
                  <c:v>50284</c:v>
                </c:pt>
                <c:pt idx="228">
                  <c:v>50314</c:v>
                </c:pt>
                <c:pt idx="229">
                  <c:v>50345</c:v>
                </c:pt>
                <c:pt idx="230">
                  <c:v>50375</c:v>
                </c:pt>
                <c:pt idx="231">
                  <c:v>50406</c:v>
                </c:pt>
                <c:pt idx="232">
                  <c:v>50437</c:v>
                </c:pt>
                <c:pt idx="233">
                  <c:v>50465</c:v>
                </c:pt>
                <c:pt idx="234">
                  <c:v>50496</c:v>
                </c:pt>
                <c:pt idx="235">
                  <c:v>50526</c:v>
                </c:pt>
                <c:pt idx="236">
                  <c:v>50557</c:v>
                </c:pt>
                <c:pt idx="237">
                  <c:v>50587</c:v>
                </c:pt>
                <c:pt idx="238">
                  <c:v>50618</c:v>
                </c:pt>
                <c:pt idx="239">
                  <c:v>50649</c:v>
                </c:pt>
                <c:pt idx="240">
                  <c:v>50679</c:v>
                </c:pt>
                <c:pt idx="241">
                  <c:v>50710</c:v>
                </c:pt>
                <c:pt idx="242">
                  <c:v>50740</c:v>
                </c:pt>
                <c:pt idx="243">
                  <c:v>50771</c:v>
                </c:pt>
                <c:pt idx="244">
                  <c:v>50802</c:v>
                </c:pt>
                <c:pt idx="245">
                  <c:v>50830</c:v>
                </c:pt>
                <c:pt idx="246">
                  <c:v>50861</c:v>
                </c:pt>
                <c:pt idx="247">
                  <c:v>50891</c:v>
                </c:pt>
                <c:pt idx="248">
                  <c:v>50922</c:v>
                </c:pt>
                <c:pt idx="249">
                  <c:v>50952</c:v>
                </c:pt>
                <c:pt idx="250">
                  <c:v>50983</c:v>
                </c:pt>
                <c:pt idx="251">
                  <c:v>51014</c:v>
                </c:pt>
                <c:pt idx="252">
                  <c:v>51044</c:v>
                </c:pt>
                <c:pt idx="253">
                  <c:v>51075</c:v>
                </c:pt>
                <c:pt idx="254">
                  <c:v>51105</c:v>
                </c:pt>
                <c:pt idx="255">
                  <c:v>51136</c:v>
                </c:pt>
                <c:pt idx="256">
                  <c:v>51167</c:v>
                </c:pt>
                <c:pt idx="257">
                  <c:v>51196</c:v>
                </c:pt>
                <c:pt idx="258">
                  <c:v>51227</c:v>
                </c:pt>
                <c:pt idx="259">
                  <c:v>51257</c:v>
                </c:pt>
                <c:pt idx="260">
                  <c:v>51288</c:v>
                </c:pt>
                <c:pt idx="261">
                  <c:v>51318</c:v>
                </c:pt>
                <c:pt idx="262">
                  <c:v>51349</c:v>
                </c:pt>
                <c:pt idx="263">
                  <c:v>51380</c:v>
                </c:pt>
                <c:pt idx="264">
                  <c:v>51410</c:v>
                </c:pt>
                <c:pt idx="265">
                  <c:v>51441</c:v>
                </c:pt>
                <c:pt idx="266">
                  <c:v>51471</c:v>
                </c:pt>
                <c:pt idx="267">
                  <c:v>51502</c:v>
                </c:pt>
                <c:pt idx="268">
                  <c:v>51533</c:v>
                </c:pt>
                <c:pt idx="269">
                  <c:v>51561</c:v>
                </c:pt>
                <c:pt idx="270">
                  <c:v>51592</c:v>
                </c:pt>
                <c:pt idx="271">
                  <c:v>51622</c:v>
                </c:pt>
                <c:pt idx="272">
                  <c:v>51653</c:v>
                </c:pt>
                <c:pt idx="273">
                  <c:v>51683</c:v>
                </c:pt>
                <c:pt idx="274">
                  <c:v>51714</c:v>
                </c:pt>
                <c:pt idx="275">
                  <c:v>51745</c:v>
                </c:pt>
                <c:pt idx="276">
                  <c:v>51775</c:v>
                </c:pt>
                <c:pt idx="277">
                  <c:v>51806</c:v>
                </c:pt>
                <c:pt idx="278">
                  <c:v>51836</c:v>
                </c:pt>
                <c:pt idx="279">
                  <c:v>51867</c:v>
                </c:pt>
                <c:pt idx="280">
                  <c:v>51898</c:v>
                </c:pt>
                <c:pt idx="281">
                  <c:v>51926</c:v>
                </c:pt>
                <c:pt idx="282">
                  <c:v>51957</c:v>
                </c:pt>
                <c:pt idx="283">
                  <c:v>51987</c:v>
                </c:pt>
                <c:pt idx="284">
                  <c:v>52018</c:v>
                </c:pt>
                <c:pt idx="285">
                  <c:v>52048</c:v>
                </c:pt>
                <c:pt idx="286">
                  <c:v>52079</c:v>
                </c:pt>
                <c:pt idx="287">
                  <c:v>52110</c:v>
                </c:pt>
                <c:pt idx="288">
                  <c:v>52140</c:v>
                </c:pt>
                <c:pt idx="289">
                  <c:v>52171</c:v>
                </c:pt>
                <c:pt idx="290">
                  <c:v>52201</c:v>
                </c:pt>
                <c:pt idx="291">
                  <c:v>52232</c:v>
                </c:pt>
                <c:pt idx="292">
                  <c:v>52263</c:v>
                </c:pt>
                <c:pt idx="293">
                  <c:v>52291</c:v>
                </c:pt>
                <c:pt idx="294">
                  <c:v>52322</c:v>
                </c:pt>
                <c:pt idx="295">
                  <c:v>52352</c:v>
                </c:pt>
                <c:pt idx="296">
                  <c:v>52383</c:v>
                </c:pt>
                <c:pt idx="297">
                  <c:v>52413</c:v>
                </c:pt>
                <c:pt idx="298">
                  <c:v>52444</c:v>
                </c:pt>
                <c:pt idx="299">
                  <c:v>52475</c:v>
                </c:pt>
              </c:numCache>
            </c:numRef>
          </c:cat>
          <c:val>
            <c:numRef>
              <c:f>Monatsdaten!$BO$2:$BO$301</c:f>
              <c:numCache>
                <c:formatCode>#,##0.00\ "€"</c:formatCode>
                <c:ptCount val="300"/>
                <c:pt idx="0">
                  <c:v>-2.8421709430404007E-14</c:v>
                </c:pt>
                <c:pt idx="1">
                  <c:v>-2.8421709430404007E-14</c:v>
                </c:pt>
                <c:pt idx="2">
                  <c:v>0</c:v>
                </c:pt>
                <c:pt idx="3">
                  <c:v>0</c:v>
                </c:pt>
                <c:pt idx="4">
                  <c:v>1.8874529999999936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11.999999999999972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92-4894-9EDB-7B85B32A1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17504"/>
        <c:axId val="299327488"/>
      </c:barChart>
      <c:lineChart>
        <c:grouping val="standard"/>
        <c:varyColors val="0"/>
        <c:ser>
          <c:idx val="0"/>
          <c:order val="0"/>
          <c:tx>
            <c:strRef>
              <c:f>Monatsdaten!$BP$1</c:f>
              <c:strCache>
                <c:ptCount val="1"/>
                <c:pt idx="0">
                  <c:v>Eigen Gewinn Verlauf o. Rate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0A92-4894-9EDB-7B85B32A1D39}"/>
              </c:ext>
            </c:extLst>
          </c:dPt>
          <c:cat>
            <c:numRef>
              <c:f>Monatsdaten!$B$2:$B$301</c:f>
              <c:numCache>
                <c:formatCode>[$-407]mmmm\ yy;@</c:formatCode>
                <c:ptCount val="300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  <c:pt idx="48">
                  <c:v>44835</c:v>
                </c:pt>
                <c:pt idx="49">
                  <c:v>44866</c:v>
                </c:pt>
                <c:pt idx="50">
                  <c:v>44896</c:v>
                </c:pt>
                <c:pt idx="51">
                  <c:v>44927</c:v>
                </c:pt>
                <c:pt idx="52">
                  <c:v>44958</c:v>
                </c:pt>
                <c:pt idx="53">
                  <c:v>44986</c:v>
                </c:pt>
                <c:pt idx="54">
                  <c:v>45017</c:v>
                </c:pt>
                <c:pt idx="55">
                  <c:v>45047</c:v>
                </c:pt>
                <c:pt idx="56">
                  <c:v>45078</c:v>
                </c:pt>
                <c:pt idx="57">
                  <c:v>45108</c:v>
                </c:pt>
                <c:pt idx="58">
                  <c:v>45139</c:v>
                </c:pt>
                <c:pt idx="59">
                  <c:v>45170</c:v>
                </c:pt>
                <c:pt idx="60">
                  <c:v>45200</c:v>
                </c:pt>
                <c:pt idx="61">
                  <c:v>45231</c:v>
                </c:pt>
                <c:pt idx="62">
                  <c:v>45261</c:v>
                </c:pt>
                <c:pt idx="63">
                  <c:v>45292</c:v>
                </c:pt>
                <c:pt idx="64">
                  <c:v>45323</c:v>
                </c:pt>
                <c:pt idx="65">
                  <c:v>45352</c:v>
                </c:pt>
                <c:pt idx="66">
                  <c:v>45383</c:v>
                </c:pt>
                <c:pt idx="67">
                  <c:v>45413</c:v>
                </c:pt>
                <c:pt idx="68">
                  <c:v>45444</c:v>
                </c:pt>
                <c:pt idx="69">
                  <c:v>45474</c:v>
                </c:pt>
                <c:pt idx="70">
                  <c:v>45505</c:v>
                </c:pt>
                <c:pt idx="71">
                  <c:v>45536</c:v>
                </c:pt>
                <c:pt idx="72">
                  <c:v>45566</c:v>
                </c:pt>
                <c:pt idx="73">
                  <c:v>45597</c:v>
                </c:pt>
                <c:pt idx="74">
                  <c:v>45627</c:v>
                </c:pt>
                <c:pt idx="75">
                  <c:v>45658</c:v>
                </c:pt>
                <c:pt idx="76">
                  <c:v>45689</c:v>
                </c:pt>
                <c:pt idx="77">
                  <c:v>45717</c:v>
                </c:pt>
                <c:pt idx="78">
                  <c:v>45748</c:v>
                </c:pt>
                <c:pt idx="79">
                  <c:v>45778</c:v>
                </c:pt>
                <c:pt idx="80">
                  <c:v>45809</c:v>
                </c:pt>
                <c:pt idx="81">
                  <c:v>45839</c:v>
                </c:pt>
                <c:pt idx="82">
                  <c:v>45870</c:v>
                </c:pt>
                <c:pt idx="83">
                  <c:v>45901</c:v>
                </c:pt>
                <c:pt idx="84">
                  <c:v>45931</c:v>
                </c:pt>
                <c:pt idx="85">
                  <c:v>45962</c:v>
                </c:pt>
                <c:pt idx="86">
                  <c:v>45992</c:v>
                </c:pt>
                <c:pt idx="87">
                  <c:v>46023</c:v>
                </c:pt>
                <c:pt idx="88">
                  <c:v>46054</c:v>
                </c:pt>
                <c:pt idx="89">
                  <c:v>46082</c:v>
                </c:pt>
                <c:pt idx="90">
                  <c:v>46113</c:v>
                </c:pt>
                <c:pt idx="91">
                  <c:v>46143</c:v>
                </c:pt>
                <c:pt idx="92">
                  <c:v>46174</c:v>
                </c:pt>
                <c:pt idx="93">
                  <c:v>46204</c:v>
                </c:pt>
                <c:pt idx="94">
                  <c:v>46235</c:v>
                </c:pt>
                <c:pt idx="95">
                  <c:v>46266</c:v>
                </c:pt>
                <c:pt idx="96">
                  <c:v>46296</c:v>
                </c:pt>
                <c:pt idx="97">
                  <c:v>46327</c:v>
                </c:pt>
                <c:pt idx="98">
                  <c:v>46357</c:v>
                </c:pt>
                <c:pt idx="99">
                  <c:v>46388</c:v>
                </c:pt>
                <c:pt idx="100">
                  <c:v>46419</c:v>
                </c:pt>
                <c:pt idx="101">
                  <c:v>46447</c:v>
                </c:pt>
                <c:pt idx="102">
                  <c:v>46478</c:v>
                </c:pt>
                <c:pt idx="103">
                  <c:v>46508</c:v>
                </c:pt>
                <c:pt idx="104">
                  <c:v>46539</c:v>
                </c:pt>
                <c:pt idx="105">
                  <c:v>46569</c:v>
                </c:pt>
                <c:pt idx="106">
                  <c:v>46600</c:v>
                </c:pt>
                <c:pt idx="107">
                  <c:v>46631</c:v>
                </c:pt>
                <c:pt idx="108">
                  <c:v>46661</c:v>
                </c:pt>
                <c:pt idx="109">
                  <c:v>46692</c:v>
                </c:pt>
                <c:pt idx="110">
                  <c:v>46722</c:v>
                </c:pt>
                <c:pt idx="111">
                  <c:v>46753</c:v>
                </c:pt>
                <c:pt idx="112">
                  <c:v>46784</c:v>
                </c:pt>
                <c:pt idx="113">
                  <c:v>46813</c:v>
                </c:pt>
                <c:pt idx="114">
                  <c:v>46844</c:v>
                </c:pt>
                <c:pt idx="115">
                  <c:v>46874</c:v>
                </c:pt>
                <c:pt idx="116">
                  <c:v>46905</c:v>
                </c:pt>
                <c:pt idx="117">
                  <c:v>46935</c:v>
                </c:pt>
                <c:pt idx="118">
                  <c:v>46966</c:v>
                </c:pt>
                <c:pt idx="119">
                  <c:v>46997</c:v>
                </c:pt>
                <c:pt idx="120">
                  <c:v>47027</c:v>
                </c:pt>
                <c:pt idx="121">
                  <c:v>47058</c:v>
                </c:pt>
                <c:pt idx="122">
                  <c:v>47088</c:v>
                </c:pt>
                <c:pt idx="123">
                  <c:v>47119</c:v>
                </c:pt>
                <c:pt idx="124">
                  <c:v>47150</c:v>
                </c:pt>
                <c:pt idx="125">
                  <c:v>47178</c:v>
                </c:pt>
                <c:pt idx="126">
                  <c:v>47209</c:v>
                </c:pt>
                <c:pt idx="127">
                  <c:v>47239</c:v>
                </c:pt>
                <c:pt idx="128">
                  <c:v>47270</c:v>
                </c:pt>
                <c:pt idx="129">
                  <c:v>47300</c:v>
                </c:pt>
                <c:pt idx="130">
                  <c:v>47331</c:v>
                </c:pt>
                <c:pt idx="131">
                  <c:v>47362</c:v>
                </c:pt>
                <c:pt idx="132">
                  <c:v>47392</c:v>
                </c:pt>
                <c:pt idx="133">
                  <c:v>47423</c:v>
                </c:pt>
                <c:pt idx="134">
                  <c:v>47453</c:v>
                </c:pt>
                <c:pt idx="135">
                  <c:v>47484</c:v>
                </c:pt>
                <c:pt idx="136">
                  <c:v>47515</c:v>
                </c:pt>
                <c:pt idx="137">
                  <c:v>47543</c:v>
                </c:pt>
                <c:pt idx="138">
                  <c:v>47574</c:v>
                </c:pt>
                <c:pt idx="139">
                  <c:v>47604</c:v>
                </c:pt>
                <c:pt idx="140">
                  <c:v>47635</c:v>
                </c:pt>
                <c:pt idx="141">
                  <c:v>47665</c:v>
                </c:pt>
                <c:pt idx="142">
                  <c:v>47696</c:v>
                </c:pt>
                <c:pt idx="143">
                  <c:v>47727</c:v>
                </c:pt>
                <c:pt idx="144">
                  <c:v>47757</c:v>
                </c:pt>
                <c:pt idx="145">
                  <c:v>47788</c:v>
                </c:pt>
                <c:pt idx="146">
                  <c:v>47818</c:v>
                </c:pt>
                <c:pt idx="147">
                  <c:v>47849</c:v>
                </c:pt>
                <c:pt idx="148">
                  <c:v>47880</c:v>
                </c:pt>
                <c:pt idx="149">
                  <c:v>47908</c:v>
                </c:pt>
                <c:pt idx="150">
                  <c:v>47939</c:v>
                </c:pt>
                <c:pt idx="151">
                  <c:v>47969</c:v>
                </c:pt>
                <c:pt idx="152">
                  <c:v>48000</c:v>
                </c:pt>
                <c:pt idx="153">
                  <c:v>48030</c:v>
                </c:pt>
                <c:pt idx="154">
                  <c:v>48061</c:v>
                </c:pt>
                <c:pt idx="155">
                  <c:v>48092</c:v>
                </c:pt>
                <c:pt idx="156">
                  <c:v>48122</c:v>
                </c:pt>
                <c:pt idx="157">
                  <c:v>48153</c:v>
                </c:pt>
                <c:pt idx="158">
                  <c:v>48183</c:v>
                </c:pt>
                <c:pt idx="159">
                  <c:v>48214</c:v>
                </c:pt>
                <c:pt idx="160">
                  <c:v>48245</c:v>
                </c:pt>
                <c:pt idx="161">
                  <c:v>48274</c:v>
                </c:pt>
                <c:pt idx="162">
                  <c:v>48305</c:v>
                </c:pt>
                <c:pt idx="163">
                  <c:v>48335</c:v>
                </c:pt>
                <c:pt idx="164">
                  <c:v>48366</c:v>
                </c:pt>
                <c:pt idx="165">
                  <c:v>48396</c:v>
                </c:pt>
                <c:pt idx="166">
                  <c:v>48427</c:v>
                </c:pt>
                <c:pt idx="167">
                  <c:v>48458</c:v>
                </c:pt>
                <c:pt idx="168">
                  <c:v>48488</c:v>
                </c:pt>
                <c:pt idx="169">
                  <c:v>48519</c:v>
                </c:pt>
                <c:pt idx="170">
                  <c:v>48549</c:v>
                </c:pt>
                <c:pt idx="171">
                  <c:v>48580</c:v>
                </c:pt>
                <c:pt idx="172">
                  <c:v>48611</c:v>
                </c:pt>
                <c:pt idx="173">
                  <c:v>48639</c:v>
                </c:pt>
                <c:pt idx="174">
                  <c:v>48670</c:v>
                </c:pt>
                <c:pt idx="175">
                  <c:v>48700</c:v>
                </c:pt>
                <c:pt idx="176">
                  <c:v>48731</c:v>
                </c:pt>
                <c:pt idx="177">
                  <c:v>48761</c:v>
                </c:pt>
                <c:pt idx="178">
                  <c:v>48792</c:v>
                </c:pt>
                <c:pt idx="179">
                  <c:v>48823</c:v>
                </c:pt>
                <c:pt idx="180">
                  <c:v>48853</c:v>
                </c:pt>
                <c:pt idx="181">
                  <c:v>48884</c:v>
                </c:pt>
                <c:pt idx="182">
                  <c:v>48914</c:v>
                </c:pt>
                <c:pt idx="183">
                  <c:v>48945</c:v>
                </c:pt>
                <c:pt idx="184">
                  <c:v>48976</c:v>
                </c:pt>
                <c:pt idx="185">
                  <c:v>49004</c:v>
                </c:pt>
                <c:pt idx="186">
                  <c:v>49035</c:v>
                </c:pt>
                <c:pt idx="187">
                  <c:v>49065</c:v>
                </c:pt>
                <c:pt idx="188">
                  <c:v>49096</c:v>
                </c:pt>
                <c:pt idx="189">
                  <c:v>49126</c:v>
                </c:pt>
                <c:pt idx="190">
                  <c:v>49157</c:v>
                </c:pt>
                <c:pt idx="191">
                  <c:v>49188</c:v>
                </c:pt>
                <c:pt idx="192">
                  <c:v>49218</c:v>
                </c:pt>
                <c:pt idx="193">
                  <c:v>49249</c:v>
                </c:pt>
                <c:pt idx="194">
                  <c:v>49279</c:v>
                </c:pt>
                <c:pt idx="195">
                  <c:v>49310</c:v>
                </c:pt>
                <c:pt idx="196">
                  <c:v>49341</c:v>
                </c:pt>
                <c:pt idx="197">
                  <c:v>49369</c:v>
                </c:pt>
                <c:pt idx="198">
                  <c:v>49400</c:v>
                </c:pt>
                <c:pt idx="199">
                  <c:v>49430</c:v>
                </c:pt>
                <c:pt idx="200">
                  <c:v>49461</c:v>
                </c:pt>
                <c:pt idx="201">
                  <c:v>49491</c:v>
                </c:pt>
                <c:pt idx="202">
                  <c:v>49522</c:v>
                </c:pt>
                <c:pt idx="203">
                  <c:v>49553</c:v>
                </c:pt>
                <c:pt idx="204">
                  <c:v>49583</c:v>
                </c:pt>
                <c:pt idx="205">
                  <c:v>49614</c:v>
                </c:pt>
                <c:pt idx="206">
                  <c:v>49644</c:v>
                </c:pt>
                <c:pt idx="207">
                  <c:v>49675</c:v>
                </c:pt>
                <c:pt idx="208">
                  <c:v>49706</c:v>
                </c:pt>
                <c:pt idx="209">
                  <c:v>49735</c:v>
                </c:pt>
                <c:pt idx="210">
                  <c:v>49766</c:v>
                </c:pt>
                <c:pt idx="211">
                  <c:v>49796</c:v>
                </c:pt>
                <c:pt idx="212">
                  <c:v>49827</c:v>
                </c:pt>
                <c:pt idx="213">
                  <c:v>49857</c:v>
                </c:pt>
                <c:pt idx="214">
                  <c:v>49888</c:v>
                </c:pt>
                <c:pt idx="215">
                  <c:v>49919</c:v>
                </c:pt>
                <c:pt idx="216">
                  <c:v>49949</c:v>
                </c:pt>
                <c:pt idx="217">
                  <c:v>49980</c:v>
                </c:pt>
                <c:pt idx="218">
                  <c:v>50010</c:v>
                </c:pt>
                <c:pt idx="219">
                  <c:v>50041</c:v>
                </c:pt>
                <c:pt idx="220">
                  <c:v>50072</c:v>
                </c:pt>
                <c:pt idx="221">
                  <c:v>50100</c:v>
                </c:pt>
                <c:pt idx="222">
                  <c:v>50131</c:v>
                </c:pt>
                <c:pt idx="223">
                  <c:v>50161</c:v>
                </c:pt>
                <c:pt idx="224">
                  <c:v>50192</c:v>
                </c:pt>
                <c:pt idx="225">
                  <c:v>50222</c:v>
                </c:pt>
                <c:pt idx="226">
                  <c:v>50253</c:v>
                </c:pt>
                <c:pt idx="227">
                  <c:v>50284</c:v>
                </c:pt>
                <c:pt idx="228">
                  <c:v>50314</c:v>
                </c:pt>
                <c:pt idx="229">
                  <c:v>50345</c:v>
                </c:pt>
                <c:pt idx="230">
                  <c:v>50375</c:v>
                </c:pt>
                <c:pt idx="231">
                  <c:v>50406</c:v>
                </c:pt>
                <c:pt idx="232">
                  <c:v>50437</c:v>
                </c:pt>
                <c:pt idx="233">
                  <c:v>50465</c:v>
                </c:pt>
                <c:pt idx="234">
                  <c:v>50496</c:v>
                </c:pt>
                <c:pt idx="235">
                  <c:v>50526</c:v>
                </c:pt>
                <c:pt idx="236">
                  <c:v>50557</c:v>
                </c:pt>
                <c:pt idx="237">
                  <c:v>50587</c:v>
                </c:pt>
                <c:pt idx="238">
                  <c:v>50618</c:v>
                </c:pt>
                <c:pt idx="239">
                  <c:v>50649</c:v>
                </c:pt>
                <c:pt idx="240">
                  <c:v>50679</c:v>
                </c:pt>
                <c:pt idx="241">
                  <c:v>50710</c:v>
                </c:pt>
                <c:pt idx="242">
                  <c:v>50740</c:v>
                </c:pt>
                <c:pt idx="243">
                  <c:v>50771</c:v>
                </c:pt>
                <c:pt idx="244">
                  <c:v>50802</c:v>
                </c:pt>
                <c:pt idx="245">
                  <c:v>50830</c:v>
                </c:pt>
                <c:pt idx="246">
                  <c:v>50861</c:v>
                </c:pt>
                <c:pt idx="247">
                  <c:v>50891</c:v>
                </c:pt>
                <c:pt idx="248">
                  <c:v>50922</c:v>
                </c:pt>
                <c:pt idx="249">
                  <c:v>50952</c:v>
                </c:pt>
                <c:pt idx="250">
                  <c:v>50983</c:v>
                </c:pt>
                <c:pt idx="251">
                  <c:v>51014</c:v>
                </c:pt>
                <c:pt idx="252">
                  <c:v>51044</c:v>
                </c:pt>
                <c:pt idx="253">
                  <c:v>51075</c:v>
                </c:pt>
                <c:pt idx="254">
                  <c:v>51105</c:v>
                </c:pt>
                <c:pt idx="255">
                  <c:v>51136</c:v>
                </c:pt>
                <c:pt idx="256">
                  <c:v>51167</c:v>
                </c:pt>
                <c:pt idx="257">
                  <c:v>51196</c:v>
                </c:pt>
                <c:pt idx="258">
                  <c:v>51227</c:v>
                </c:pt>
                <c:pt idx="259">
                  <c:v>51257</c:v>
                </c:pt>
                <c:pt idx="260">
                  <c:v>51288</c:v>
                </c:pt>
                <c:pt idx="261">
                  <c:v>51318</c:v>
                </c:pt>
                <c:pt idx="262">
                  <c:v>51349</c:v>
                </c:pt>
                <c:pt idx="263">
                  <c:v>51380</c:v>
                </c:pt>
                <c:pt idx="264">
                  <c:v>51410</c:v>
                </c:pt>
                <c:pt idx="265">
                  <c:v>51441</c:v>
                </c:pt>
                <c:pt idx="266">
                  <c:v>51471</c:v>
                </c:pt>
                <c:pt idx="267">
                  <c:v>51502</c:v>
                </c:pt>
                <c:pt idx="268">
                  <c:v>51533</c:v>
                </c:pt>
                <c:pt idx="269">
                  <c:v>51561</c:v>
                </c:pt>
                <c:pt idx="270">
                  <c:v>51592</c:v>
                </c:pt>
                <c:pt idx="271">
                  <c:v>51622</c:v>
                </c:pt>
                <c:pt idx="272">
                  <c:v>51653</c:v>
                </c:pt>
                <c:pt idx="273">
                  <c:v>51683</c:v>
                </c:pt>
                <c:pt idx="274">
                  <c:v>51714</c:v>
                </c:pt>
                <c:pt idx="275">
                  <c:v>51745</c:v>
                </c:pt>
                <c:pt idx="276">
                  <c:v>51775</c:v>
                </c:pt>
                <c:pt idx="277">
                  <c:v>51806</c:v>
                </c:pt>
                <c:pt idx="278">
                  <c:v>51836</c:v>
                </c:pt>
                <c:pt idx="279">
                  <c:v>51867</c:v>
                </c:pt>
                <c:pt idx="280">
                  <c:v>51898</c:v>
                </c:pt>
                <c:pt idx="281">
                  <c:v>51926</c:v>
                </c:pt>
                <c:pt idx="282">
                  <c:v>51957</c:v>
                </c:pt>
                <c:pt idx="283">
                  <c:v>51987</c:v>
                </c:pt>
                <c:pt idx="284">
                  <c:v>52018</c:v>
                </c:pt>
                <c:pt idx="285">
                  <c:v>52048</c:v>
                </c:pt>
                <c:pt idx="286">
                  <c:v>52079</c:v>
                </c:pt>
                <c:pt idx="287">
                  <c:v>52110</c:v>
                </c:pt>
                <c:pt idx="288">
                  <c:v>52140</c:v>
                </c:pt>
                <c:pt idx="289">
                  <c:v>52171</c:v>
                </c:pt>
                <c:pt idx="290">
                  <c:v>52201</c:v>
                </c:pt>
                <c:pt idx="291">
                  <c:v>52232</c:v>
                </c:pt>
                <c:pt idx="292">
                  <c:v>52263</c:v>
                </c:pt>
                <c:pt idx="293">
                  <c:v>52291</c:v>
                </c:pt>
                <c:pt idx="294">
                  <c:v>52322</c:v>
                </c:pt>
                <c:pt idx="295">
                  <c:v>52352</c:v>
                </c:pt>
                <c:pt idx="296">
                  <c:v>52383</c:v>
                </c:pt>
                <c:pt idx="297">
                  <c:v>52413</c:v>
                </c:pt>
                <c:pt idx="298">
                  <c:v>52444</c:v>
                </c:pt>
                <c:pt idx="299">
                  <c:v>52475</c:v>
                </c:pt>
              </c:numCache>
            </c:numRef>
          </c:cat>
          <c:val>
            <c:numRef>
              <c:f>Monatsdaten!$BP$2:$BP$301</c:f>
              <c:numCache>
                <c:formatCode>#,##0.00\ "€"</c:formatCode>
                <c:ptCount val="300"/>
                <c:pt idx="0">
                  <c:v>-45407.64</c:v>
                </c:pt>
                <c:pt idx="1">
                  <c:v>-45407.64</c:v>
                </c:pt>
                <c:pt idx="2">
                  <c:v>-45407.64</c:v>
                </c:pt>
                <c:pt idx="3">
                  <c:v>-45407.64</c:v>
                </c:pt>
                <c:pt idx="4">
                  <c:v>-45405.752546999996</c:v>
                </c:pt>
                <c:pt idx="5">
                  <c:v>-45396.752546999996</c:v>
                </c:pt>
                <c:pt idx="6">
                  <c:v>-45387.752546999996</c:v>
                </c:pt>
                <c:pt idx="7">
                  <c:v>-45378.752546999996</c:v>
                </c:pt>
                <c:pt idx="8">
                  <c:v>-45369.752546999996</c:v>
                </c:pt>
                <c:pt idx="9">
                  <c:v>-45360.752546999996</c:v>
                </c:pt>
                <c:pt idx="10">
                  <c:v>-45351.752546999996</c:v>
                </c:pt>
                <c:pt idx="11">
                  <c:v>-45342.752546999996</c:v>
                </c:pt>
                <c:pt idx="12">
                  <c:v>-45330.752546999996</c:v>
                </c:pt>
                <c:pt idx="13">
                  <c:v>-45318.752546999996</c:v>
                </c:pt>
                <c:pt idx="14">
                  <c:v>-45306.752546999996</c:v>
                </c:pt>
                <c:pt idx="15">
                  <c:v>-45294.752546999996</c:v>
                </c:pt>
                <c:pt idx="16">
                  <c:v>-45282.752546999996</c:v>
                </c:pt>
                <c:pt idx="17">
                  <c:v>-45270.752546999996</c:v>
                </c:pt>
                <c:pt idx="18">
                  <c:v>-45258.752546999996</c:v>
                </c:pt>
                <c:pt idx="19">
                  <c:v>-62442.302546999999</c:v>
                </c:pt>
                <c:pt idx="20">
                  <c:v>-62430.302546999999</c:v>
                </c:pt>
                <c:pt idx="21">
                  <c:v>-62418.302546999999</c:v>
                </c:pt>
                <c:pt idx="22">
                  <c:v>-62406.302546999999</c:v>
                </c:pt>
                <c:pt idx="23">
                  <c:v>-62394.302546999999</c:v>
                </c:pt>
                <c:pt idx="24">
                  <c:v>-62382.302546999999</c:v>
                </c:pt>
                <c:pt idx="25">
                  <c:v>-62370.302546999999</c:v>
                </c:pt>
                <c:pt idx="26">
                  <c:v>-62358.302546999999</c:v>
                </c:pt>
                <c:pt idx="27">
                  <c:v>-62346.302546999999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2-4894-9EDB-7B85B32A1D39}"/>
            </c:ext>
          </c:extLst>
        </c:ser>
        <c:ser>
          <c:idx val="2"/>
          <c:order val="1"/>
          <c:tx>
            <c:strRef>
              <c:f>Monatsdaten!$BQ$1</c:f>
              <c:strCache>
                <c:ptCount val="1"/>
                <c:pt idx="0">
                  <c:v>Prognose</c:v>
                </c:pt>
              </c:strCache>
            </c:strRef>
          </c:tx>
          <c:spPr>
            <a:ln w="5080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Monatsdaten!$B$2:$B$301</c:f>
              <c:numCache>
                <c:formatCode>[$-407]mmmm\ yy;@</c:formatCode>
                <c:ptCount val="300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  <c:pt idx="48">
                  <c:v>44835</c:v>
                </c:pt>
                <c:pt idx="49">
                  <c:v>44866</c:v>
                </c:pt>
                <c:pt idx="50">
                  <c:v>44896</c:v>
                </c:pt>
                <c:pt idx="51">
                  <c:v>44927</c:v>
                </c:pt>
                <c:pt idx="52">
                  <c:v>44958</c:v>
                </c:pt>
                <c:pt idx="53">
                  <c:v>44986</c:v>
                </c:pt>
                <c:pt idx="54">
                  <c:v>45017</c:v>
                </c:pt>
                <c:pt idx="55">
                  <c:v>45047</c:v>
                </c:pt>
                <c:pt idx="56">
                  <c:v>45078</c:v>
                </c:pt>
                <c:pt idx="57">
                  <c:v>45108</c:v>
                </c:pt>
                <c:pt idx="58">
                  <c:v>45139</c:v>
                </c:pt>
                <c:pt idx="59">
                  <c:v>45170</c:v>
                </c:pt>
                <c:pt idx="60">
                  <c:v>45200</c:v>
                </c:pt>
                <c:pt idx="61">
                  <c:v>45231</c:v>
                </c:pt>
                <c:pt idx="62">
                  <c:v>45261</c:v>
                </c:pt>
                <c:pt idx="63">
                  <c:v>45292</c:v>
                </c:pt>
                <c:pt idx="64">
                  <c:v>45323</c:v>
                </c:pt>
                <c:pt idx="65">
                  <c:v>45352</c:v>
                </c:pt>
                <c:pt idx="66">
                  <c:v>45383</c:v>
                </c:pt>
                <c:pt idx="67">
                  <c:v>45413</c:v>
                </c:pt>
                <c:pt idx="68">
                  <c:v>45444</c:v>
                </c:pt>
                <c:pt idx="69">
                  <c:v>45474</c:v>
                </c:pt>
                <c:pt idx="70">
                  <c:v>45505</c:v>
                </c:pt>
                <c:pt idx="71">
                  <c:v>45536</c:v>
                </c:pt>
                <c:pt idx="72">
                  <c:v>45566</c:v>
                </c:pt>
                <c:pt idx="73">
                  <c:v>45597</c:v>
                </c:pt>
                <c:pt idx="74">
                  <c:v>45627</c:v>
                </c:pt>
                <c:pt idx="75">
                  <c:v>45658</c:v>
                </c:pt>
                <c:pt idx="76">
                  <c:v>45689</c:v>
                </c:pt>
                <c:pt idx="77">
                  <c:v>45717</c:v>
                </c:pt>
                <c:pt idx="78">
                  <c:v>45748</c:v>
                </c:pt>
                <c:pt idx="79">
                  <c:v>45778</c:v>
                </c:pt>
                <c:pt idx="80">
                  <c:v>45809</c:v>
                </c:pt>
                <c:pt idx="81">
                  <c:v>45839</c:v>
                </c:pt>
                <c:pt idx="82">
                  <c:v>45870</c:v>
                </c:pt>
                <c:pt idx="83">
                  <c:v>45901</c:v>
                </c:pt>
                <c:pt idx="84">
                  <c:v>45931</c:v>
                </c:pt>
                <c:pt idx="85">
                  <c:v>45962</c:v>
                </c:pt>
                <c:pt idx="86">
                  <c:v>45992</c:v>
                </c:pt>
                <c:pt idx="87">
                  <c:v>46023</c:v>
                </c:pt>
                <c:pt idx="88">
                  <c:v>46054</c:v>
                </c:pt>
                <c:pt idx="89">
                  <c:v>46082</c:v>
                </c:pt>
                <c:pt idx="90">
                  <c:v>46113</c:v>
                </c:pt>
                <c:pt idx="91">
                  <c:v>46143</c:v>
                </c:pt>
                <c:pt idx="92">
                  <c:v>46174</c:v>
                </c:pt>
                <c:pt idx="93">
                  <c:v>46204</c:v>
                </c:pt>
                <c:pt idx="94">
                  <c:v>46235</c:v>
                </c:pt>
                <c:pt idx="95">
                  <c:v>46266</c:v>
                </c:pt>
                <c:pt idx="96">
                  <c:v>46296</c:v>
                </c:pt>
                <c:pt idx="97">
                  <c:v>46327</c:v>
                </c:pt>
                <c:pt idx="98">
                  <c:v>46357</c:v>
                </c:pt>
                <c:pt idx="99">
                  <c:v>46388</c:v>
                </c:pt>
                <c:pt idx="100">
                  <c:v>46419</c:v>
                </c:pt>
                <c:pt idx="101">
                  <c:v>46447</c:v>
                </c:pt>
                <c:pt idx="102">
                  <c:v>46478</c:v>
                </c:pt>
                <c:pt idx="103">
                  <c:v>46508</c:v>
                </c:pt>
                <c:pt idx="104">
                  <c:v>46539</c:v>
                </c:pt>
                <c:pt idx="105">
                  <c:v>46569</c:v>
                </c:pt>
                <c:pt idx="106">
                  <c:v>46600</c:v>
                </c:pt>
                <c:pt idx="107">
                  <c:v>46631</c:v>
                </c:pt>
                <c:pt idx="108">
                  <c:v>46661</c:v>
                </c:pt>
                <c:pt idx="109">
                  <c:v>46692</c:v>
                </c:pt>
                <c:pt idx="110">
                  <c:v>46722</c:v>
                </c:pt>
                <c:pt idx="111">
                  <c:v>46753</c:v>
                </c:pt>
                <c:pt idx="112">
                  <c:v>46784</c:v>
                </c:pt>
                <c:pt idx="113">
                  <c:v>46813</c:v>
                </c:pt>
                <c:pt idx="114">
                  <c:v>46844</c:v>
                </c:pt>
                <c:pt idx="115">
                  <c:v>46874</c:v>
                </c:pt>
                <c:pt idx="116">
                  <c:v>46905</c:v>
                </c:pt>
                <c:pt idx="117">
                  <c:v>46935</c:v>
                </c:pt>
                <c:pt idx="118">
                  <c:v>46966</c:v>
                </c:pt>
                <c:pt idx="119">
                  <c:v>46997</c:v>
                </c:pt>
                <c:pt idx="120">
                  <c:v>47027</c:v>
                </c:pt>
                <c:pt idx="121">
                  <c:v>47058</c:v>
                </c:pt>
                <c:pt idx="122">
                  <c:v>47088</c:v>
                </c:pt>
                <c:pt idx="123">
                  <c:v>47119</c:v>
                </c:pt>
                <c:pt idx="124">
                  <c:v>47150</c:v>
                </c:pt>
                <c:pt idx="125">
                  <c:v>47178</c:v>
                </c:pt>
                <c:pt idx="126">
                  <c:v>47209</c:v>
                </c:pt>
                <c:pt idx="127">
                  <c:v>47239</c:v>
                </c:pt>
                <c:pt idx="128">
                  <c:v>47270</c:v>
                </c:pt>
                <c:pt idx="129">
                  <c:v>47300</c:v>
                </c:pt>
                <c:pt idx="130">
                  <c:v>47331</c:v>
                </c:pt>
                <c:pt idx="131">
                  <c:v>47362</c:v>
                </c:pt>
                <c:pt idx="132">
                  <c:v>47392</c:v>
                </c:pt>
                <c:pt idx="133">
                  <c:v>47423</c:v>
                </c:pt>
                <c:pt idx="134">
                  <c:v>47453</c:v>
                </c:pt>
                <c:pt idx="135">
                  <c:v>47484</c:v>
                </c:pt>
                <c:pt idx="136">
                  <c:v>47515</c:v>
                </c:pt>
                <c:pt idx="137">
                  <c:v>47543</c:v>
                </c:pt>
                <c:pt idx="138">
                  <c:v>47574</c:v>
                </c:pt>
                <c:pt idx="139">
                  <c:v>47604</c:v>
                </c:pt>
                <c:pt idx="140">
                  <c:v>47635</c:v>
                </c:pt>
                <c:pt idx="141">
                  <c:v>47665</c:v>
                </c:pt>
                <c:pt idx="142">
                  <c:v>47696</c:v>
                </c:pt>
                <c:pt idx="143">
                  <c:v>47727</c:v>
                </c:pt>
                <c:pt idx="144">
                  <c:v>47757</c:v>
                </c:pt>
                <c:pt idx="145">
                  <c:v>47788</c:v>
                </c:pt>
                <c:pt idx="146">
                  <c:v>47818</c:v>
                </c:pt>
                <c:pt idx="147">
                  <c:v>47849</c:v>
                </c:pt>
                <c:pt idx="148">
                  <c:v>47880</c:v>
                </c:pt>
                <c:pt idx="149">
                  <c:v>47908</c:v>
                </c:pt>
                <c:pt idx="150">
                  <c:v>47939</c:v>
                </c:pt>
                <c:pt idx="151">
                  <c:v>47969</c:v>
                </c:pt>
                <c:pt idx="152">
                  <c:v>48000</c:v>
                </c:pt>
                <c:pt idx="153">
                  <c:v>48030</c:v>
                </c:pt>
                <c:pt idx="154">
                  <c:v>48061</c:v>
                </c:pt>
                <c:pt idx="155">
                  <c:v>48092</c:v>
                </c:pt>
                <c:pt idx="156">
                  <c:v>48122</c:v>
                </c:pt>
                <c:pt idx="157">
                  <c:v>48153</c:v>
                </c:pt>
                <c:pt idx="158">
                  <c:v>48183</c:v>
                </c:pt>
                <c:pt idx="159">
                  <c:v>48214</c:v>
                </c:pt>
                <c:pt idx="160">
                  <c:v>48245</c:v>
                </c:pt>
                <c:pt idx="161">
                  <c:v>48274</c:v>
                </c:pt>
                <c:pt idx="162">
                  <c:v>48305</c:v>
                </c:pt>
                <c:pt idx="163">
                  <c:v>48335</c:v>
                </c:pt>
                <c:pt idx="164">
                  <c:v>48366</c:v>
                </c:pt>
                <c:pt idx="165">
                  <c:v>48396</c:v>
                </c:pt>
                <c:pt idx="166">
                  <c:v>48427</c:v>
                </c:pt>
                <c:pt idx="167">
                  <c:v>48458</c:v>
                </c:pt>
                <c:pt idx="168">
                  <c:v>48488</c:v>
                </c:pt>
                <c:pt idx="169">
                  <c:v>48519</c:v>
                </c:pt>
                <c:pt idx="170">
                  <c:v>48549</c:v>
                </c:pt>
                <c:pt idx="171">
                  <c:v>48580</c:v>
                </c:pt>
                <c:pt idx="172">
                  <c:v>48611</c:v>
                </c:pt>
                <c:pt idx="173">
                  <c:v>48639</c:v>
                </c:pt>
                <c:pt idx="174">
                  <c:v>48670</c:v>
                </c:pt>
                <c:pt idx="175">
                  <c:v>48700</c:v>
                </c:pt>
                <c:pt idx="176">
                  <c:v>48731</c:v>
                </c:pt>
                <c:pt idx="177">
                  <c:v>48761</c:v>
                </c:pt>
                <c:pt idx="178">
                  <c:v>48792</c:v>
                </c:pt>
                <c:pt idx="179">
                  <c:v>48823</c:v>
                </c:pt>
                <c:pt idx="180">
                  <c:v>48853</c:v>
                </c:pt>
                <c:pt idx="181">
                  <c:v>48884</c:v>
                </c:pt>
                <c:pt idx="182">
                  <c:v>48914</c:v>
                </c:pt>
                <c:pt idx="183">
                  <c:v>48945</c:v>
                </c:pt>
                <c:pt idx="184">
                  <c:v>48976</c:v>
                </c:pt>
                <c:pt idx="185">
                  <c:v>49004</c:v>
                </c:pt>
                <c:pt idx="186">
                  <c:v>49035</c:v>
                </c:pt>
                <c:pt idx="187">
                  <c:v>49065</c:v>
                </c:pt>
                <c:pt idx="188">
                  <c:v>49096</c:v>
                </c:pt>
                <c:pt idx="189">
                  <c:v>49126</c:v>
                </c:pt>
                <c:pt idx="190">
                  <c:v>49157</c:v>
                </c:pt>
                <c:pt idx="191">
                  <c:v>49188</c:v>
                </c:pt>
                <c:pt idx="192">
                  <c:v>49218</c:v>
                </c:pt>
                <c:pt idx="193">
                  <c:v>49249</c:v>
                </c:pt>
                <c:pt idx="194">
                  <c:v>49279</c:v>
                </c:pt>
                <c:pt idx="195">
                  <c:v>49310</c:v>
                </c:pt>
                <c:pt idx="196">
                  <c:v>49341</c:v>
                </c:pt>
                <c:pt idx="197">
                  <c:v>49369</c:v>
                </c:pt>
                <c:pt idx="198">
                  <c:v>49400</c:v>
                </c:pt>
                <c:pt idx="199">
                  <c:v>49430</c:v>
                </c:pt>
                <c:pt idx="200">
                  <c:v>49461</c:v>
                </c:pt>
                <c:pt idx="201">
                  <c:v>49491</c:v>
                </c:pt>
                <c:pt idx="202">
                  <c:v>49522</c:v>
                </c:pt>
                <c:pt idx="203">
                  <c:v>49553</c:v>
                </c:pt>
                <c:pt idx="204">
                  <c:v>49583</c:v>
                </c:pt>
                <c:pt idx="205">
                  <c:v>49614</c:v>
                </c:pt>
                <c:pt idx="206">
                  <c:v>49644</c:v>
                </c:pt>
                <c:pt idx="207">
                  <c:v>49675</c:v>
                </c:pt>
                <c:pt idx="208">
                  <c:v>49706</c:v>
                </c:pt>
                <c:pt idx="209">
                  <c:v>49735</c:v>
                </c:pt>
                <c:pt idx="210">
                  <c:v>49766</c:v>
                </c:pt>
                <c:pt idx="211">
                  <c:v>49796</c:v>
                </c:pt>
                <c:pt idx="212">
                  <c:v>49827</c:v>
                </c:pt>
                <c:pt idx="213">
                  <c:v>49857</c:v>
                </c:pt>
                <c:pt idx="214">
                  <c:v>49888</c:v>
                </c:pt>
                <c:pt idx="215">
                  <c:v>49919</c:v>
                </c:pt>
                <c:pt idx="216">
                  <c:v>49949</c:v>
                </c:pt>
                <c:pt idx="217">
                  <c:v>49980</c:v>
                </c:pt>
                <c:pt idx="218">
                  <c:v>50010</c:v>
                </c:pt>
                <c:pt idx="219">
                  <c:v>50041</c:v>
                </c:pt>
                <c:pt idx="220">
                  <c:v>50072</c:v>
                </c:pt>
                <c:pt idx="221">
                  <c:v>50100</c:v>
                </c:pt>
                <c:pt idx="222">
                  <c:v>50131</c:v>
                </c:pt>
                <c:pt idx="223">
                  <c:v>50161</c:v>
                </c:pt>
                <c:pt idx="224">
                  <c:v>50192</c:v>
                </c:pt>
                <c:pt idx="225">
                  <c:v>50222</c:v>
                </c:pt>
                <c:pt idx="226">
                  <c:v>50253</c:v>
                </c:pt>
                <c:pt idx="227">
                  <c:v>50284</c:v>
                </c:pt>
                <c:pt idx="228">
                  <c:v>50314</c:v>
                </c:pt>
                <c:pt idx="229">
                  <c:v>50345</c:v>
                </c:pt>
                <c:pt idx="230">
                  <c:v>50375</c:v>
                </c:pt>
                <c:pt idx="231">
                  <c:v>50406</c:v>
                </c:pt>
                <c:pt idx="232">
                  <c:v>50437</c:v>
                </c:pt>
                <c:pt idx="233">
                  <c:v>50465</c:v>
                </c:pt>
                <c:pt idx="234">
                  <c:v>50496</c:v>
                </c:pt>
                <c:pt idx="235">
                  <c:v>50526</c:v>
                </c:pt>
                <c:pt idx="236">
                  <c:v>50557</c:v>
                </c:pt>
                <c:pt idx="237">
                  <c:v>50587</c:v>
                </c:pt>
                <c:pt idx="238">
                  <c:v>50618</c:v>
                </c:pt>
                <c:pt idx="239">
                  <c:v>50649</c:v>
                </c:pt>
                <c:pt idx="240">
                  <c:v>50679</c:v>
                </c:pt>
                <c:pt idx="241">
                  <c:v>50710</c:v>
                </c:pt>
                <c:pt idx="242">
                  <c:v>50740</c:v>
                </c:pt>
                <c:pt idx="243">
                  <c:v>50771</c:v>
                </c:pt>
                <c:pt idx="244">
                  <c:v>50802</c:v>
                </c:pt>
                <c:pt idx="245">
                  <c:v>50830</c:v>
                </c:pt>
                <c:pt idx="246">
                  <c:v>50861</c:v>
                </c:pt>
                <c:pt idx="247">
                  <c:v>50891</c:v>
                </c:pt>
                <c:pt idx="248">
                  <c:v>50922</c:v>
                </c:pt>
                <c:pt idx="249">
                  <c:v>50952</c:v>
                </c:pt>
                <c:pt idx="250">
                  <c:v>50983</c:v>
                </c:pt>
                <c:pt idx="251">
                  <c:v>51014</c:v>
                </c:pt>
                <c:pt idx="252">
                  <c:v>51044</c:v>
                </c:pt>
                <c:pt idx="253">
                  <c:v>51075</c:v>
                </c:pt>
                <c:pt idx="254">
                  <c:v>51105</c:v>
                </c:pt>
                <c:pt idx="255">
                  <c:v>51136</c:v>
                </c:pt>
                <c:pt idx="256">
                  <c:v>51167</c:v>
                </c:pt>
                <c:pt idx="257">
                  <c:v>51196</c:v>
                </c:pt>
                <c:pt idx="258">
                  <c:v>51227</c:v>
                </c:pt>
                <c:pt idx="259">
                  <c:v>51257</c:v>
                </c:pt>
                <c:pt idx="260">
                  <c:v>51288</c:v>
                </c:pt>
                <c:pt idx="261">
                  <c:v>51318</c:v>
                </c:pt>
                <c:pt idx="262">
                  <c:v>51349</c:v>
                </c:pt>
                <c:pt idx="263">
                  <c:v>51380</c:v>
                </c:pt>
                <c:pt idx="264">
                  <c:v>51410</c:v>
                </c:pt>
                <c:pt idx="265">
                  <c:v>51441</c:v>
                </c:pt>
                <c:pt idx="266">
                  <c:v>51471</c:v>
                </c:pt>
                <c:pt idx="267">
                  <c:v>51502</c:v>
                </c:pt>
                <c:pt idx="268">
                  <c:v>51533</c:v>
                </c:pt>
                <c:pt idx="269">
                  <c:v>51561</c:v>
                </c:pt>
                <c:pt idx="270">
                  <c:v>51592</c:v>
                </c:pt>
                <c:pt idx="271">
                  <c:v>51622</c:v>
                </c:pt>
                <c:pt idx="272">
                  <c:v>51653</c:v>
                </c:pt>
                <c:pt idx="273">
                  <c:v>51683</c:v>
                </c:pt>
                <c:pt idx="274">
                  <c:v>51714</c:v>
                </c:pt>
                <c:pt idx="275">
                  <c:v>51745</c:v>
                </c:pt>
                <c:pt idx="276">
                  <c:v>51775</c:v>
                </c:pt>
                <c:pt idx="277">
                  <c:v>51806</c:v>
                </c:pt>
                <c:pt idx="278">
                  <c:v>51836</c:v>
                </c:pt>
                <c:pt idx="279">
                  <c:v>51867</c:v>
                </c:pt>
                <c:pt idx="280">
                  <c:v>51898</c:v>
                </c:pt>
                <c:pt idx="281">
                  <c:v>51926</c:v>
                </c:pt>
                <c:pt idx="282">
                  <c:v>51957</c:v>
                </c:pt>
                <c:pt idx="283">
                  <c:v>51987</c:v>
                </c:pt>
                <c:pt idx="284">
                  <c:v>52018</c:v>
                </c:pt>
                <c:pt idx="285">
                  <c:v>52048</c:v>
                </c:pt>
                <c:pt idx="286">
                  <c:v>52079</c:v>
                </c:pt>
                <c:pt idx="287">
                  <c:v>52110</c:v>
                </c:pt>
                <c:pt idx="288">
                  <c:v>52140</c:v>
                </c:pt>
                <c:pt idx="289">
                  <c:v>52171</c:v>
                </c:pt>
                <c:pt idx="290">
                  <c:v>52201</c:v>
                </c:pt>
                <c:pt idx="291">
                  <c:v>52232</c:v>
                </c:pt>
                <c:pt idx="292">
                  <c:v>52263</c:v>
                </c:pt>
                <c:pt idx="293">
                  <c:v>52291</c:v>
                </c:pt>
                <c:pt idx="294">
                  <c:v>52322</c:v>
                </c:pt>
                <c:pt idx="295">
                  <c:v>52352</c:v>
                </c:pt>
                <c:pt idx="296">
                  <c:v>52383</c:v>
                </c:pt>
                <c:pt idx="297">
                  <c:v>52413</c:v>
                </c:pt>
                <c:pt idx="298">
                  <c:v>52444</c:v>
                </c:pt>
                <c:pt idx="299">
                  <c:v>52475</c:v>
                </c:pt>
              </c:numCache>
            </c:numRef>
          </c:cat>
          <c:val>
            <c:numRef>
              <c:f>Monatsdaten!$BQ$2:$BQ$301</c:f>
              <c:numCache>
                <c:formatCode>#,##0.00\ "€"</c:formatCode>
                <c:ptCount val="300"/>
                <c:pt idx="0">
                  <c:v>-45407.64</c:v>
                </c:pt>
                <c:pt idx="1">
                  <c:v>-45407.64</c:v>
                </c:pt>
                <c:pt idx="2">
                  <c:v>-45407.64</c:v>
                </c:pt>
                <c:pt idx="3">
                  <c:v>-45407.64</c:v>
                </c:pt>
                <c:pt idx="4">
                  <c:v>-45405.752546999996</c:v>
                </c:pt>
                <c:pt idx="5">
                  <c:v>-45396.752546999996</c:v>
                </c:pt>
                <c:pt idx="6">
                  <c:v>-45387.752546999996</c:v>
                </c:pt>
                <c:pt idx="7">
                  <c:v>-45378.752546999996</c:v>
                </c:pt>
                <c:pt idx="8">
                  <c:v>-45369.752546999996</c:v>
                </c:pt>
                <c:pt idx="9">
                  <c:v>-45360.752546999996</c:v>
                </c:pt>
                <c:pt idx="10">
                  <c:v>-45351.752546999996</c:v>
                </c:pt>
                <c:pt idx="11">
                  <c:v>-45342.752546999996</c:v>
                </c:pt>
                <c:pt idx="12">
                  <c:v>-45330.752546999996</c:v>
                </c:pt>
                <c:pt idx="13">
                  <c:v>-45318.752546999996</c:v>
                </c:pt>
                <c:pt idx="14">
                  <c:v>-45306.752546999996</c:v>
                </c:pt>
                <c:pt idx="15">
                  <c:v>-45294.752546999996</c:v>
                </c:pt>
                <c:pt idx="16">
                  <c:v>-45282.752546999996</c:v>
                </c:pt>
                <c:pt idx="17">
                  <c:v>-45270.752546999996</c:v>
                </c:pt>
                <c:pt idx="18">
                  <c:v>-45258.752546999996</c:v>
                </c:pt>
                <c:pt idx="19">
                  <c:v>-62442.302546999999</c:v>
                </c:pt>
                <c:pt idx="20">
                  <c:v>-62430.302546999999</c:v>
                </c:pt>
                <c:pt idx="21">
                  <c:v>-62418.302546999999</c:v>
                </c:pt>
                <c:pt idx="22">
                  <c:v>-62406.302546999999</c:v>
                </c:pt>
                <c:pt idx="23">
                  <c:v>-62394.302546999999</c:v>
                </c:pt>
                <c:pt idx="24">
                  <c:v>-62382.302546999999</c:v>
                </c:pt>
                <c:pt idx="25">
                  <c:v>-62370.302546999999</c:v>
                </c:pt>
                <c:pt idx="26">
                  <c:v>-62358.302546999999</c:v>
                </c:pt>
                <c:pt idx="27">
                  <c:v>-62346.302546999999</c:v>
                </c:pt>
                <c:pt idx="28">
                  <c:v>-62327.102547000002</c:v>
                </c:pt>
                <c:pt idx="29">
                  <c:v>-62307.902547000005</c:v>
                </c:pt>
                <c:pt idx="30">
                  <c:v>-62288.702546999979</c:v>
                </c:pt>
                <c:pt idx="31">
                  <c:v>-62269.502546999967</c:v>
                </c:pt>
                <c:pt idx="32">
                  <c:v>-62250.30254699997</c:v>
                </c:pt>
                <c:pt idx="33">
                  <c:v>-62231.102546999973</c:v>
                </c:pt>
                <c:pt idx="34">
                  <c:v>-62211.902546999976</c:v>
                </c:pt>
                <c:pt idx="35">
                  <c:v>-62192.702546999979</c:v>
                </c:pt>
                <c:pt idx="36">
                  <c:v>-62180.702546999979</c:v>
                </c:pt>
                <c:pt idx="37">
                  <c:v>-62168.702546999979</c:v>
                </c:pt>
                <c:pt idx="38">
                  <c:v>-62156.702546999979</c:v>
                </c:pt>
                <c:pt idx="39">
                  <c:v>-62144.702546999979</c:v>
                </c:pt>
                <c:pt idx="40">
                  <c:v>-62125.502546999982</c:v>
                </c:pt>
                <c:pt idx="41">
                  <c:v>-62106.302546999985</c:v>
                </c:pt>
                <c:pt idx="42">
                  <c:v>-62087.102546999959</c:v>
                </c:pt>
                <c:pt idx="43">
                  <c:v>-62067.902546999947</c:v>
                </c:pt>
                <c:pt idx="44">
                  <c:v>-62052.302546999948</c:v>
                </c:pt>
                <c:pt idx="45">
                  <c:v>-62036.70254699995</c:v>
                </c:pt>
                <c:pt idx="46">
                  <c:v>-62021.102546999951</c:v>
                </c:pt>
                <c:pt idx="47">
                  <c:v>-62005.502546999953</c:v>
                </c:pt>
                <c:pt idx="48">
                  <c:v>-61993.502546999953</c:v>
                </c:pt>
                <c:pt idx="49">
                  <c:v>-61981.502546999953</c:v>
                </c:pt>
                <c:pt idx="50">
                  <c:v>-61969.502546999953</c:v>
                </c:pt>
                <c:pt idx="51">
                  <c:v>-61957.502546999953</c:v>
                </c:pt>
                <c:pt idx="52">
                  <c:v>-61938.302546999956</c:v>
                </c:pt>
                <c:pt idx="53">
                  <c:v>-61919.102546999959</c:v>
                </c:pt>
                <c:pt idx="54">
                  <c:v>-61899.902546999932</c:v>
                </c:pt>
                <c:pt idx="55">
                  <c:v>-61880.702546999921</c:v>
                </c:pt>
                <c:pt idx="56">
                  <c:v>-61865.102546999922</c:v>
                </c:pt>
                <c:pt idx="57">
                  <c:v>-61849.502546999924</c:v>
                </c:pt>
                <c:pt idx="58">
                  <c:v>-61833.902546999925</c:v>
                </c:pt>
                <c:pt idx="59">
                  <c:v>-61818.302546999927</c:v>
                </c:pt>
                <c:pt idx="60">
                  <c:v>-61806.302546999927</c:v>
                </c:pt>
                <c:pt idx="61">
                  <c:v>-61794.302546999927</c:v>
                </c:pt>
                <c:pt idx="62">
                  <c:v>-61782.302546999927</c:v>
                </c:pt>
                <c:pt idx="63">
                  <c:v>-61770.302546999927</c:v>
                </c:pt>
                <c:pt idx="64">
                  <c:v>-61751.102546999929</c:v>
                </c:pt>
                <c:pt idx="65">
                  <c:v>-61731.902546999932</c:v>
                </c:pt>
                <c:pt idx="66">
                  <c:v>-61712.702546999906</c:v>
                </c:pt>
                <c:pt idx="67">
                  <c:v>-61693.502546999895</c:v>
                </c:pt>
                <c:pt idx="68">
                  <c:v>-61676.702546999899</c:v>
                </c:pt>
                <c:pt idx="69">
                  <c:v>-61659.902546999903</c:v>
                </c:pt>
                <c:pt idx="70">
                  <c:v>-61643.102546999908</c:v>
                </c:pt>
                <c:pt idx="71">
                  <c:v>-61626.302546999912</c:v>
                </c:pt>
                <c:pt idx="72">
                  <c:v>-61614.302546999912</c:v>
                </c:pt>
                <c:pt idx="73">
                  <c:v>-61602.302546999912</c:v>
                </c:pt>
                <c:pt idx="74">
                  <c:v>-61590.302546999912</c:v>
                </c:pt>
                <c:pt idx="75">
                  <c:v>-61578.302546999912</c:v>
                </c:pt>
                <c:pt idx="76">
                  <c:v>-61559.102546999915</c:v>
                </c:pt>
                <c:pt idx="77">
                  <c:v>-61539.902546999918</c:v>
                </c:pt>
                <c:pt idx="78">
                  <c:v>-61520.702546999892</c:v>
                </c:pt>
                <c:pt idx="79">
                  <c:v>-61501.50254699988</c:v>
                </c:pt>
                <c:pt idx="80">
                  <c:v>-61485.50254699988</c:v>
                </c:pt>
                <c:pt idx="81">
                  <c:v>-61469.50254699988</c:v>
                </c:pt>
                <c:pt idx="82">
                  <c:v>-61453.50254699988</c:v>
                </c:pt>
                <c:pt idx="83">
                  <c:v>-61437.50254699988</c:v>
                </c:pt>
                <c:pt idx="84">
                  <c:v>-61425.50254699988</c:v>
                </c:pt>
                <c:pt idx="85">
                  <c:v>-61413.50254699988</c:v>
                </c:pt>
                <c:pt idx="86">
                  <c:v>-61401.50254699988</c:v>
                </c:pt>
                <c:pt idx="87">
                  <c:v>-61389.50254699988</c:v>
                </c:pt>
                <c:pt idx="88">
                  <c:v>-61370.302546999883</c:v>
                </c:pt>
                <c:pt idx="89">
                  <c:v>-61351.102546999886</c:v>
                </c:pt>
                <c:pt idx="90">
                  <c:v>-61331.90254699986</c:v>
                </c:pt>
                <c:pt idx="91">
                  <c:v>-61312.702546999848</c:v>
                </c:pt>
                <c:pt idx="92">
                  <c:v>-61296.569213666517</c:v>
                </c:pt>
                <c:pt idx="93">
                  <c:v>-61280.435880333185</c:v>
                </c:pt>
                <c:pt idx="94">
                  <c:v>-61264.302546999854</c:v>
                </c:pt>
                <c:pt idx="95">
                  <c:v>-61248.169213666522</c:v>
                </c:pt>
                <c:pt idx="96">
                  <c:v>-61236.169213666522</c:v>
                </c:pt>
                <c:pt idx="97">
                  <c:v>-61224.169213666522</c:v>
                </c:pt>
                <c:pt idx="98">
                  <c:v>-61212.169213666522</c:v>
                </c:pt>
                <c:pt idx="99">
                  <c:v>-61200.169213666522</c:v>
                </c:pt>
                <c:pt idx="100">
                  <c:v>-61180.969213666525</c:v>
                </c:pt>
                <c:pt idx="101">
                  <c:v>-61161.769213666528</c:v>
                </c:pt>
                <c:pt idx="102">
                  <c:v>-61142.569213666502</c:v>
                </c:pt>
                <c:pt idx="103">
                  <c:v>-61123.36921366649</c:v>
                </c:pt>
                <c:pt idx="104">
                  <c:v>-61107.058102555384</c:v>
                </c:pt>
                <c:pt idx="105">
                  <c:v>-61090.746991444277</c:v>
                </c:pt>
                <c:pt idx="106">
                  <c:v>-61074.435880333171</c:v>
                </c:pt>
                <c:pt idx="107">
                  <c:v>-61058.124769222064</c:v>
                </c:pt>
                <c:pt idx="108">
                  <c:v>-61046.124769222064</c:v>
                </c:pt>
                <c:pt idx="109">
                  <c:v>-61034.124769222064</c:v>
                </c:pt>
                <c:pt idx="110">
                  <c:v>-61022.124769222064</c:v>
                </c:pt>
                <c:pt idx="111">
                  <c:v>-61010.124769222064</c:v>
                </c:pt>
                <c:pt idx="112">
                  <c:v>-60990.924769222067</c:v>
                </c:pt>
                <c:pt idx="113">
                  <c:v>-60971.72476922207</c:v>
                </c:pt>
                <c:pt idx="114">
                  <c:v>-60952.524769222044</c:v>
                </c:pt>
                <c:pt idx="115">
                  <c:v>-60933.324769222032</c:v>
                </c:pt>
                <c:pt idx="116">
                  <c:v>-60917.176621073886</c:v>
                </c:pt>
                <c:pt idx="117">
                  <c:v>-60901.02847292574</c:v>
                </c:pt>
                <c:pt idx="118">
                  <c:v>-60884.880324777594</c:v>
                </c:pt>
                <c:pt idx="119">
                  <c:v>-60868.732176629448</c:v>
                </c:pt>
                <c:pt idx="120">
                  <c:v>-60856.732176629448</c:v>
                </c:pt>
                <c:pt idx="121">
                  <c:v>-60844.732176629448</c:v>
                </c:pt>
                <c:pt idx="122">
                  <c:v>-60832.732176629448</c:v>
                </c:pt>
                <c:pt idx="123">
                  <c:v>-60820.732176629448</c:v>
                </c:pt>
                <c:pt idx="124">
                  <c:v>-60801.532176629451</c:v>
                </c:pt>
                <c:pt idx="125">
                  <c:v>-60782.332176629454</c:v>
                </c:pt>
                <c:pt idx="126">
                  <c:v>-60763.132176629428</c:v>
                </c:pt>
                <c:pt idx="127">
                  <c:v>-60743.932176629416</c:v>
                </c:pt>
                <c:pt idx="128">
                  <c:v>-60727.734645765224</c:v>
                </c:pt>
                <c:pt idx="129">
                  <c:v>-60711.537114901032</c:v>
                </c:pt>
                <c:pt idx="130">
                  <c:v>-60695.339584036839</c:v>
                </c:pt>
                <c:pt idx="131">
                  <c:v>-60679.142053172647</c:v>
                </c:pt>
                <c:pt idx="132">
                  <c:v>-60667.142053172647</c:v>
                </c:pt>
                <c:pt idx="133">
                  <c:v>-60655.142053172647</c:v>
                </c:pt>
                <c:pt idx="134">
                  <c:v>-60643.142053172647</c:v>
                </c:pt>
                <c:pt idx="135">
                  <c:v>-60631.142053172647</c:v>
                </c:pt>
                <c:pt idx="136">
                  <c:v>-60611.94205317265</c:v>
                </c:pt>
                <c:pt idx="137">
                  <c:v>-60592.742053172653</c:v>
                </c:pt>
                <c:pt idx="138">
                  <c:v>-60573.542053172627</c:v>
                </c:pt>
                <c:pt idx="139">
                  <c:v>-60554.342053172615</c:v>
                </c:pt>
                <c:pt idx="140">
                  <c:v>-60538.123123131467</c:v>
                </c:pt>
                <c:pt idx="141">
                  <c:v>-60521.904193090319</c:v>
                </c:pt>
                <c:pt idx="142">
                  <c:v>-60505.68526304917</c:v>
                </c:pt>
                <c:pt idx="143">
                  <c:v>-60489.466333008022</c:v>
                </c:pt>
                <c:pt idx="144">
                  <c:v>-60477.466333008022</c:v>
                </c:pt>
                <c:pt idx="145">
                  <c:v>-60465.466333008022</c:v>
                </c:pt>
                <c:pt idx="146">
                  <c:v>-60453.466333008022</c:v>
                </c:pt>
                <c:pt idx="147">
                  <c:v>-60441.466333008022</c:v>
                </c:pt>
                <c:pt idx="148">
                  <c:v>-60422.266333008025</c:v>
                </c:pt>
                <c:pt idx="149">
                  <c:v>-60403.066333008028</c:v>
                </c:pt>
                <c:pt idx="150">
                  <c:v>-60383.866333008002</c:v>
                </c:pt>
                <c:pt idx="151">
                  <c:v>-60364.66633300799</c:v>
                </c:pt>
                <c:pt idx="152">
                  <c:v>-60348.478129990159</c:v>
                </c:pt>
                <c:pt idx="153">
                  <c:v>-60332.289926972328</c:v>
                </c:pt>
                <c:pt idx="154">
                  <c:v>-60316.101723954496</c:v>
                </c:pt>
                <c:pt idx="155">
                  <c:v>-60299.913520936665</c:v>
                </c:pt>
                <c:pt idx="156">
                  <c:v>-60287.913520936665</c:v>
                </c:pt>
                <c:pt idx="157">
                  <c:v>-60275.913520936665</c:v>
                </c:pt>
                <c:pt idx="158">
                  <c:v>-60263.913520936665</c:v>
                </c:pt>
                <c:pt idx="159">
                  <c:v>-60251.913520936665</c:v>
                </c:pt>
                <c:pt idx="160">
                  <c:v>-60232.713520936668</c:v>
                </c:pt>
                <c:pt idx="161">
                  <c:v>-60213.513520936671</c:v>
                </c:pt>
                <c:pt idx="162">
                  <c:v>-60194.313520936645</c:v>
                </c:pt>
                <c:pt idx="163">
                  <c:v>-60175.113520936633</c:v>
                </c:pt>
                <c:pt idx="164">
                  <c:v>-60158.911966295578</c:v>
                </c:pt>
                <c:pt idx="165">
                  <c:v>-60142.710411654523</c:v>
                </c:pt>
                <c:pt idx="166">
                  <c:v>-60126.508857013469</c:v>
                </c:pt>
                <c:pt idx="167">
                  <c:v>-60110.307302372414</c:v>
                </c:pt>
                <c:pt idx="168">
                  <c:v>-60098.307302372414</c:v>
                </c:pt>
                <c:pt idx="169">
                  <c:v>-60086.307302372414</c:v>
                </c:pt>
                <c:pt idx="170">
                  <c:v>-60074.307302372414</c:v>
                </c:pt>
                <c:pt idx="171">
                  <c:v>-60062.307302372414</c:v>
                </c:pt>
                <c:pt idx="172">
                  <c:v>-60043.107302372417</c:v>
                </c:pt>
                <c:pt idx="173">
                  <c:v>-60023.90730237242</c:v>
                </c:pt>
                <c:pt idx="174">
                  <c:v>-60004.707302372393</c:v>
                </c:pt>
                <c:pt idx="175">
                  <c:v>-59985.507302372382</c:v>
                </c:pt>
                <c:pt idx="176">
                  <c:v>-59969.304406472373</c:v>
                </c:pt>
                <c:pt idx="177">
                  <c:v>-59953.101510572364</c:v>
                </c:pt>
                <c:pt idx="178">
                  <c:v>-59936.898614672355</c:v>
                </c:pt>
                <c:pt idx="179">
                  <c:v>-59920.695718772346</c:v>
                </c:pt>
                <c:pt idx="180">
                  <c:v>-59908.695718772346</c:v>
                </c:pt>
                <c:pt idx="181">
                  <c:v>-59896.695718772346</c:v>
                </c:pt>
                <c:pt idx="182">
                  <c:v>-59884.695718772346</c:v>
                </c:pt>
                <c:pt idx="183">
                  <c:v>-59872.695718772346</c:v>
                </c:pt>
                <c:pt idx="184">
                  <c:v>-59853.495718772348</c:v>
                </c:pt>
                <c:pt idx="185">
                  <c:v>-59834.295718772351</c:v>
                </c:pt>
                <c:pt idx="186">
                  <c:v>-59815.095718772325</c:v>
                </c:pt>
                <c:pt idx="187">
                  <c:v>-59795.895718772314</c:v>
                </c:pt>
                <c:pt idx="188">
                  <c:v>-59779.698167586015</c:v>
                </c:pt>
                <c:pt idx="189">
                  <c:v>-59763.500616399717</c:v>
                </c:pt>
                <c:pt idx="190">
                  <c:v>-59747.303065213418</c:v>
                </c:pt>
                <c:pt idx="191">
                  <c:v>-59731.10551402712</c:v>
                </c:pt>
                <c:pt idx="192">
                  <c:v>-59719.10551402712</c:v>
                </c:pt>
                <c:pt idx="193">
                  <c:v>-59707.10551402712</c:v>
                </c:pt>
                <c:pt idx="194">
                  <c:v>-59695.10551402712</c:v>
                </c:pt>
                <c:pt idx="195">
                  <c:v>-59683.10551402712</c:v>
                </c:pt>
                <c:pt idx="196">
                  <c:v>-59663.905514027123</c:v>
                </c:pt>
                <c:pt idx="197">
                  <c:v>-59644.705514027126</c:v>
                </c:pt>
                <c:pt idx="198">
                  <c:v>-59625.5055140271</c:v>
                </c:pt>
                <c:pt idx="199">
                  <c:v>-59606.305514027088</c:v>
                </c:pt>
                <c:pt idx="200">
                  <c:v>-59590.104846784634</c:v>
                </c:pt>
                <c:pt idx="201">
                  <c:v>-59573.90417954218</c:v>
                </c:pt>
                <c:pt idx="202">
                  <c:v>-59557.703512299726</c:v>
                </c:pt>
                <c:pt idx="203">
                  <c:v>-59541.502845057272</c:v>
                </c:pt>
                <c:pt idx="204">
                  <c:v>-59529.502845057272</c:v>
                </c:pt>
                <c:pt idx="205">
                  <c:v>-59517.502845057272</c:v>
                </c:pt>
                <c:pt idx="206">
                  <c:v>-59505.502845057272</c:v>
                </c:pt>
                <c:pt idx="207">
                  <c:v>-59493.502845057272</c:v>
                </c:pt>
                <c:pt idx="208">
                  <c:v>-59474.302845057275</c:v>
                </c:pt>
                <c:pt idx="209">
                  <c:v>-59455.102845057278</c:v>
                </c:pt>
                <c:pt idx="210">
                  <c:v>-59435.902845057251</c:v>
                </c:pt>
                <c:pt idx="211">
                  <c:v>-59416.70284505724</c:v>
                </c:pt>
                <c:pt idx="212">
                  <c:v>-59400.502473614317</c:v>
                </c:pt>
                <c:pt idx="213">
                  <c:v>-59384.302102171394</c:v>
                </c:pt>
                <c:pt idx="214">
                  <c:v>-59368.101730728471</c:v>
                </c:pt>
                <c:pt idx="215">
                  <c:v>-59351.901359285548</c:v>
                </c:pt>
                <c:pt idx="216">
                  <c:v>-59339.901359285548</c:v>
                </c:pt>
                <c:pt idx="217">
                  <c:v>-59327.901359285548</c:v>
                </c:pt>
                <c:pt idx="218">
                  <c:v>-59315.901359285548</c:v>
                </c:pt>
                <c:pt idx="219">
                  <c:v>-59303.901359285548</c:v>
                </c:pt>
                <c:pt idx="220">
                  <c:v>-59284.701359285551</c:v>
                </c:pt>
                <c:pt idx="221">
                  <c:v>-59265.501359285554</c:v>
                </c:pt>
                <c:pt idx="222">
                  <c:v>-59246.301359285528</c:v>
                </c:pt>
                <c:pt idx="223">
                  <c:v>-59227.101359285516</c:v>
                </c:pt>
                <c:pt idx="224">
                  <c:v>-59210.901829328293</c:v>
                </c:pt>
                <c:pt idx="225">
                  <c:v>-59194.702299371071</c:v>
                </c:pt>
                <c:pt idx="226">
                  <c:v>-59178.502769413848</c:v>
                </c:pt>
                <c:pt idx="227">
                  <c:v>-59162.303239456625</c:v>
                </c:pt>
                <c:pt idx="228">
                  <c:v>-59150.303239456625</c:v>
                </c:pt>
                <c:pt idx="229">
                  <c:v>-59138.303239456625</c:v>
                </c:pt>
                <c:pt idx="230">
                  <c:v>-59126.303239456625</c:v>
                </c:pt>
                <c:pt idx="231">
                  <c:v>-59114.303239456625</c:v>
                </c:pt>
                <c:pt idx="232">
                  <c:v>-59095.103239456628</c:v>
                </c:pt>
                <c:pt idx="233">
                  <c:v>-59075.903239456631</c:v>
                </c:pt>
                <c:pt idx="234">
                  <c:v>-59056.703239456605</c:v>
                </c:pt>
                <c:pt idx="235">
                  <c:v>-59037.503239456593</c:v>
                </c:pt>
                <c:pt idx="236">
                  <c:v>-59021.30304990906</c:v>
                </c:pt>
                <c:pt idx="237">
                  <c:v>-59005.102860361527</c:v>
                </c:pt>
                <c:pt idx="238">
                  <c:v>-58988.902670813994</c:v>
                </c:pt>
                <c:pt idx="239">
                  <c:v>-58972.70248126646</c:v>
                </c:pt>
                <c:pt idx="240">
                  <c:v>-58960.70248126646</c:v>
                </c:pt>
                <c:pt idx="241">
                  <c:v>-58948.70248126646</c:v>
                </c:pt>
                <c:pt idx="242">
                  <c:v>-58936.70248126646</c:v>
                </c:pt>
                <c:pt idx="243">
                  <c:v>-58924.70248126646</c:v>
                </c:pt>
                <c:pt idx="244">
                  <c:v>-58905.502481266463</c:v>
                </c:pt>
                <c:pt idx="245">
                  <c:v>-58886.302481266466</c:v>
                </c:pt>
                <c:pt idx="246">
                  <c:v>-58867.10248126644</c:v>
                </c:pt>
                <c:pt idx="247">
                  <c:v>-58847.902481266428</c:v>
                </c:pt>
                <c:pt idx="248">
                  <c:v>-58831.702450950535</c:v>
                </c:pt>
                <c:pt idx="249">
                  <c:v>-58815.502420634642</c:v>
                </c:pt>
                <c:pt idx="250">
                  <c:v>-58799.30239031875</c:v>
                </c:pt>
                <c:pt idx="251">
                  <c:v>-58783.102360002857</c:v>
                </c:pt>
                <c:pt idx="252">
                  <c:v>-58771.102360002857</c:v>
                </c:pt>
                <c:pt idx="253">
                  <c:v>-58759.102360002857</c:v>
                </c:pt>
                <c:pt idx="254">
                  <c:v>-58747.102360002857</c:v>
                </c:pt>
                <c:pt idx="255">
                  <c:v>-58735.102360002857</c:v>
                </c:pt>
                <c:pt idx="256">
                  <c:v>-58715.902360002859</c:v>
                </c:pt>
                <c:pt idx="257">
                  <c:v>-58696.702360002862</c:v>
                </c:pt>
                <c:pt idx="258">
                  <c:v>-58677.502360002836</c:v>
                </c:pt>
                <c:pt idx="259">
                  <c:v>-58658.302360002825</c:v>
                </c:pt>
                <c:pt idx="260">
                  <c:v>-58642.102443395939</c:v>
                </c:pt>
                <c:pt idx="261">
                  <c:v>-58625.902526789054</c:v>
                </c:pt>
                <c:pt idx="262">
                  <c:v>-58609.702610182168</c:v>
                </c:pt>
                <c:pt idx="263">
                  <c:v>-58593.502693575283</c:v>
                </c:pt>
                <c:pt idx="264">
                  <c:v>-58581.502693575283</c:v>
                </c:pt>
                <c:pt idx="265">
                  <c:v>-58569.502693575283</c:v>
                </c:pt>
                <c:pt idx="266">
                  <c:v>-58557.502693575283</c:v>
                </c:pt>
                <c:pt idx="267">
                  <c:v>-58545.502693575283</c:v>
                </c:pt>
                <c:pt idx="268">
                  <c:v>-58526.302693575286</c:v>
                </c:pt>
                <c:pt idx="269">
                  <c:v>-58507.102693575289</c:v>
                </c:pt>
                <c:pt idx="270">
                  <c:v>-58487.902693575263</c:v>
                </c:pt>
                <c:pt idx="271">
                  <c:v>-58468.702693575251</c:v>
                </c:pt>
                <c:pt idx="272">
                  <c:v>-58452.502648085145</c:v>
                </c:pt>
                <c:pt idx="273">
                  <c:v>-58436.302602595038</c:v>
                </c:pt>
                <c:pt idx="274">
                  <c:v>-58420.102557104932</c:v>
                </c:pt>
                <c:pt idx="275">
                  <c:v>-58403.902511614826</c:v>
                </c:pt>
                <c:pt idx="276">
                  <c:v>-58391.902511614826</c:v>
                </c:pt>
                <c:pt idx="277">
                  <c:v>-58379.902511614826</c:v>
                </c:pt>
                <c:pt idx="278">
                  <c:v>-58367.902511614826</c:v>
                </c:pt>
                <c:pt idx="279">
                  <c:v>-58355.902511614826</c:v>
                </c:pt>
                <c:pt idx="280">
                  <c:v>-58336.702511614829</c:v>
                </c:pt>
                <c:pt idx="281">
                  <c:v>-58317.502511614832</c:v>
                </c:pt>
                <c:pt idx="282">
                  <c:v>-58298.302511614806</c:v>
                </c:pt>
                <c:pt idx="283">
                  <c:v>-58279.102511614794</c:v>
                </c:pt>
                <c:pt idx="284">
                  <c:v>-58262.902514143832</c:v>
                </c:pt>
                <c:pt idx="285">
                  <c:v>-58246.702516672871</c:v>
                </c:pt>
                <c:pt idx="286">
                  <c:v>-58230.502519201909</c:v>
                </c:pt>
                <c:pt idx="287">
                  <c:v>-58214.302521730948</c:v>
                </c:pt>
                <c:pt idx="288">
                  <c:v>-58202.302521730948</c:v>
                </c:pt>
                <c:pt idx="289">
                  <c:v>-58190.302521730948</c:v>
                </c:pt>
                <c:pt idx="290">
                  <c:v>-58178.302521730948</c:v>
                </c:pt>
                <c:pt idx="291">
                  <c:v>-58166.302521730948</c:v>
                </c:pt>
                <c:pt idx="292">
                  <c:v>-58147.102521730951</c:v>
                </c:pt>
                <c:pt idx="293">
                  <c:v>-58127.902521730954</c:v>
                </c:pt>
                <c:pt idx="294">
                  <c:v>-58108.702521730927</c:v>
                </c:pt>
                <c:pt idx="295">
                  <c:v>-58089.502521730916</c:v>
                </c:pt>
                <c:pt idx="296">
                  <c:v>-58073.302535208262</c:v>
                </c:pt>
                <c:pt idx="297">
                  <c:v>-58057.102548685609</c:v>
                </c:pt>
                <c:pt idx="298">
                  <c:v>-58040.902562162955</c:v>
                </c:pt>
                <c:pt idx="299">
                  <c:v>-58024.702575640302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9-8141-82C3-B899C6D17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317504"/>
        <c:axId val="299327488"/>
      </c:lineChart>
      <c:dateAx>
        <c:axId val="299317504"/>
        <c:scaling>
          <c:orientation val="minMax"/>
        </c:scaling>
        <c:delete val="0"/>
        <c:axPos val="b"/>
        <c:numFmt formatCode="[$-407]mmmm\ yy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9327488"/>
        <c:crosses val="autoZero"/>
        <c:auto val="1"/>
        <c:lblOffset val="100"/>
        <c:baseTimeUnit val="months"/>
      </c:dateAx>
      <c:valAx>
        <c:axId val="299327488"/>
        <c:scaling>
          <c:orientation val="minMax"/>
          <c:min val="-60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9317504"/>
        <c:crosses val="autoZero"/>
        <c:crossBetween val="between"/>
        <c:majorUnit val="100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Monatsdaten!$DC$1</c:f>
              <c:strCache>
                <c:ptCount val="1"/>
                <c:pt idx="0">
                  <c:v>+/- bei Herzowerke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Monatsdaten!$B$17:$B$29</c:f>
              <c:numCache>
                <c:formatCode>[$-407]mmmm\ yy;@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Monatsdaten!$DC$29:$DC$41</c:f>
              <c:numCache>
                <c:formatCode>#,##0.00\ "€"</c:formatCode>
                <c:ptCount val="13"/>
                <c:pt idx="0">
                  <c:v>2850.8446666666673</c:v>
                </c:pt>
                <c:pt idx="1">
                  <c:v>3027.9280000000008</c:v>
                </c:pt>
                <c:pt idx="2">
                  <c:v>3205.0113333333343</c:v>
                </c:pt>
                <c:pt idx="3">
                  <c:v>3382.0946666666678</c:v>
                </c:pt>
                <c:pt idx="4">
                  <c:v>3559.1780000000012</c:v>
                </c:pt>
                <c:pt idx="5">
                  <c:v>3736.2613333333347</c:v>
                </c:pt>
                <c:pt idx="6">
                  <c:v>3913.3446666666682</c:v>
                </c:pt>
                <c:pt idx="7">
                  <c:v>4090.4280000000012</c:v>
                </c:pt>
                <c:pt idx="8">
                  <c:v>4267.5113333333347</c:v>
                </c:pt>
                <c:pt idx="9">
                  <c:v>4444.5946666666678</c:v>
                </c:pt>
                <c:pt idx="10">
                  <c:v>4621.6780000000008</c:v>
                </c:pt>
                <c:pt idx="11">
                  <c:v>4798.7613333333338</c:v>
                </c:pt>
                <c:pt idx="12">
                  <c:v>4975.8446666666669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0-7A4F-8DD2-A86D7A7DB669}"/>
            </c:ext>
          </c:extLst>
        </c:ser>
        <c:ser>
          <c:idx val="2"/>
          <c:order val="1"/>
          <c:tx>
            <c:strRef>
              <c:f>Monatsdaten!$DC$1</c:f>
              <c:strCache>
                <c:ptCount val="1"/>
                <c:pt idx="0">
                  <c:v>+/- bei Herzowerke</c:v>
                </c:pt>
              </c:strCache>
            </c:strRef>
          </c:tx>
          <c:spPr>
            <a:ln w="38100" cap="rnd">
              <a:solidFill>
                <a:schemeClr val="accent1">
                  <a:alpha val="50000"/>
                </a:schemeClr>
              </a:solidFill>
              <a:prstDash val="dash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Monatsdaten!$B$17:$B$29</c:f>
              <c:numCache>
                <c:formatCode>[$-407]mmmm\ yy;@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Monatsdaten!$DC$17:$DC$29</c:f>
              <c:numCache>
                <c:formatCode>#,##0.00\ "€"</c:formatCode>
                <c:ptCount val="13"/>
                <c:pt idx="0">
                  <c:v>1459.8446666666664</c:v>
                </c:pt>
                <c:pt idx="1">
                  <c:v>1629.9279999999997</c:v>
                </c:pt>
                <c:pt idx="2">
                  <c:v>1800.0113333333329</c:v>
                </c:pt>
                <c:pt idx="3">
                  <c:v>1890.0946666666662</c:v>
                </c:pt>
                <c:pt idx="4">
                  <c:v>1980.1779999999994</c:v>
                </c:pt>
                <c:pt idx="5">
                  <c:v>2070.2613333333329</c:v>
                </c:pt>
                <c:pt idx="6">
                  <c:v>2160.3446666666664</c:v>
                </c:pt>
                <c:pt idx="7">
                  <c:v>2250.4279999999999</c:v>
                </c:pt>
                <c:pt idx="8">
                  <c:v>2340.5113333333334</c:v>
                </c:pt>
                <c:pt idx="9">
                  <c:v>2430.5946666666669</c:v>
                </c:pt>
                <c:pt idx="10">
                  <c:v>2570.6780000000003</c:v>
                </c:pt>
                <c:pt idx="11">
                  <c:v>2710.7613333333338</c:v>
                </c:pt>
                <c:pt idx="12">
                  <c:v>2850.8446666666673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EB-0D41-9B5B-AB0B2023632A}"/>
            </c:ext>
          </c:extLst>
        </c:ser>
        <c:ser>
          <c:idx val="1"/>
          <c:order val="2"/>
          <c:tx>
            <c:strRef>
              <c:f>Monatsdaten!$DE$1</c:f>
              <c:strCache>
                <c:ptCount val="1"/>
                <c:pt idx="0">
                  <c:v>+/- bei Bayernwerk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Monatsdaten!$B$17:$B$29</c:f>
              <c:numCache>
                <c:formatCode>[$-407]mmmm\ yy;@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Monatsdaten!$DE$29:$DE$41</c:f>
              <c:numCache>
                <c:formatCode>#,##0.00\ "€"</c:formatCode>
                <c:ptCount val="13"/>
                <c:pt idx="0">
                  <c:v>-1547.1125469999999</c:v>
                </c:pt>
                <c:pt idx="1">
                  <c:v>-1640.1125469999999</c:v>
                </c:pt>
                <c:pt idx="2">
                  <c:v>-1733.1125469999999</c:v>
                </c:pt>
                <c:pt idx="3">
                  <c:v>-1826.1125469999999</c:v>
                </c:pt>
                <c:pt idx="4">
                  <c:v>-1969.1125469999999</c:v>
                </c:pt>
                <c:pt idx="5">
                  <c:v>-2112.1125469999997</c:v>
                </c:pt>
                <c:pt idx="6">
                  <c:v>-2255.1125469999997</c:v>
                </c:pt>
                <c:pt idx="7">
                  <c:v>-2398.1125469999997</c:v>
                </c:pt>
                <c:pt idx="8">
                  <c:v>-2541.1125469999997</c:v>
                </c:pt>
                <c:pt idx="9">
                  <c:v>-2684.1125469999997</c:v>
                </c:pt>
                <c:pt idx="10">
                  <c:v>-2827.1125469999997</c:v>
                </c:pt>
                <c:pt idx="11">
                  <c:v>-2970.1125469999997</c:v>
                </c:pt>
                <c:pt idx="12">
                  <c:v>-3113.1125469999997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90-7A4F-8DD2-A86D7A7DB669}"/>
            </c:ext>
          </c:extLst>
        </c:ser>
        <c:ser>
          <c:idx val="3"/>
          <c:order val="3"/>
          <c:tx>
            <c:strRef>
              <c:f>Monatsdaten!$DE$1</c:f>
              <c:strCache>
                <c:ptCount val="1"/>
                <c:pt idx="0">
                  <c:v>+/- bei Bayernwerk</c:v>
                </c:pt>
              </c:strCache>
            </c:strRef>
          </c:tx>
          <c:spPr>
            <a:ln w="38100" cap="rnd">
              <a:solidFill>
                <a:schemeClr val="accent2">
                  <a:alpha val="50000"/>
                </a:schemeClr>
              </a:solidFill>
              <a:prstDash val="dash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Monatsdaten!$B$17:$B$29</c:f>
              <c:numCache>
                <c:formatCode>[$-407]mmmm\ yy;@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Monatsdaten!$DE$17:$DE$29</c:f>
              <c:numCache>
                <c:formatCode>#,##0.00\ "€"</c:formatCode>
                <c:ptCount val="13"/>
                <c:pt idx="0">
                  <c:v>-821.11254699999995</c:v>
                </c:pt>
                <c:pt idx="1">
                  <c:v>-871.11254699999995</c:v>
                </c:pt>
                <c:pt idx="2">
                  <c:v>-921.11254699999995</c:v>
                </c:pt>
                <c:pt idx="3">
                  <c:v>-971.11254699999995</c:v>
                </c:pt>
                <c:pt idx="4">
                  <c:v>-1021.1125469999999</c:v>
                </c:pt>
                <c:pt idx="5">
                  <c:v>-1090.1125469999999</c:v>
                </c:pt>
                <c:pt idx="6">
                  <c:v>-1159.1125469999999</c:v>
                </c:pt>
                <c:pt idx="7">
                  <c:v>-1228.1125469999999</c:v>
                </c:pt>
                <c:pt idx="8">
                  <c:v>-1297.1125469999999</c:v>
                </c:pt>
                <c:pt idx="9">
                  <c:v>-1366.1125469999999</c:v>
                </c:pt>
                <c:pt idx="10">
                  <c:v>-1435.1125469999999</c:v>
                </c:pt>
                <c:pt idx="11">
                  <c:v>-1454.1125469999999</c:v>
                </c:pt>
                <c:pt idx="12">
                  <c:v>-1547.1125469999999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EB-0D41-9B5B-AB0B20236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8770879"/>
        <c:axId val="2058785231"/>
      </c:lineChart>
      <c:dateAx>
        <c:axId val="2058770879"/>
        <c:scaling>
          <c:orientation val="minMax"/>
        </c:scaling>
        <c:delete val="0"/>
        <c:axPos val="b"/>
        <c:numFmt formatCode="[$-407]mmmm\ yy;@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8785231"/>
        <c:crosses val="autoZero"/>
        <c:auto val="1"/>
        <c:lblOffset val="100"/>
        <c:baseTimeUnit val="months"/>
      </c:dateAx>
      <c:valAx>
        <c:axId val="2058785231"/>
        <c:scaling>
          <c:orientation val="minMax"/>
          <c:max val="1000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8770879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Monatsdaten!$G$1</c:f>
              <c:strCache>
                <c:ptCount val="1"/>
                <c:pt idx="0">
                  <c:v>+/- Durchschnitt</c:v>
                </c:pt>
              </c:strCache>
            </c:strRef>
          </c:tx>
          <c:spPr>
            <a:gradFill>
              <a:gsLst>
                <a:gs pos="0">
                  <a:schemeClr val="dk1">
                    <a:tint val="88500"/>
                  </a:schemeClr>
                </a:gs>
                <a:gs pos="100000">
                  <a:schemeClr val="dk1">
                    <a:tint val="88500"/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37-D04C-B759-0C4D2915C872}"/>
              </c:ext>
            </c:extLst>
          </c:dPt>
          <c:cat>
            <c:numRef>
              <c:f>Monatsdaten!$B$2:$B$49</c:f>
              <c:numCache>
                <c:formatCode>[$-407]mmmm\ yy;@</c:formatCode>
                <c:ptCount val="48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</c:numCache>
            </c:numRef>
          </c:cat>
          <c:val>
            <c:numRef>
              <c:f>Monatsdaten!$G$2:$G$49</c:f>
              <c:numCache>
                <c:formatCode>#,##0.0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-108.53015427769988</c:v>
                </c:pt>
                <c:pt idx="3">
                  <c:v>-392.40000000000003</c:v>
                </c:pt>
                <c:pt idx="4">
                  <c:v>-528.41739130434792</c:v>
                </c:pt>
                <c:pt idx="5">
                  <c:v>-1025.6869565217391</c:v>
                </c:pt>
                <c:pt idx="6">
                  <c:v>-1428.2608695652175</c:v>
                </c:pt>
                <c:pt idx="7">
                  <c:v>-1527.7304347826089</c:v>
                </c:pt>
                <c:pt idx="8">
                  <c:v>-1554.8869565217392</c:v>
                </c:pt>
                <c:pt idx="9">
                  <c:v>-1582.0434782608697</c:v>
                </c:pt>
                <c:pt idx="10">
                  <c:v>-1862.1</c:v>
                </c:pt>
                <c:pt idx="11">
                  <c:v>-1546.2</c:v>
                </c:pt>
                <c:pt idx="12">
                  <c:v>-1099</c:v>
                </c:pt>
                <c:pt idx="13">
                  <c:v>-565.1</c:v>
                </c:pt>
                <c:pt idx="14">
                  <c:v>-429.9</c:v>
                </c:pt>
                <c:pt idx="15">
                  <c:v>-501.40000000000003</c:v>
                </c:pt>
                <c:pt idx="16">
                  <c:v>-675.2</c:v>
                </c:pt>
                <c:pt idx="17">
                  <c:v>-1310.5999999999999</c:v>
                </c:pt>
                <c:pt idx="18">
                  <c:v>-1825</c:v>
                </c:pt>
                <c:pt idx="19">
                  <c:v>-3019.9677419354839</c:v>
                </c:pt>
                <c:pt idx="20">
                  <c:v>-3595.6000000000004</c:v>
                </c:pt>
                <c:pt idx="21">
                  <c:v>-3593.8</c:v>
                </c:pt>
                <c:pt idx="22">
                  <c:v>-3065.7</c:v>
                </c:pt>
                <c:pt idx="23">
                  <c:v>-2246.7000000000003</c:v>
                </c:pt>
                <c:pt idx="24">
                  <c:v>-1416.7</c:v>
                </c:pt>
                <c:pt idx="25">
                  <c:v>-739.6</c:v>
                </c:pt>
                <c:pt idx="26">
                  <c:v>-559.9</c:v>
                </c:pt>
                <c:pt idx="27">
                  <c:v>-660.80000000000007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37-D04C-B759-0C4D2915C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55136"/>
        <c:axId val="299356928"/>
      </c:barChart>
      <c:dateAx>
        <c:axId val="299355136"/>
        <c:scaling>
          <c:orientation val="minMax"/>
        </c:scaling>
        <c:delete val="0"/>
        <c:axPos val="b"/>
        <c:numFmt formatCode="[$-407]mmmm\ yy;@" sourceLinked="1"/>
        <c:majorTickMark val="none"/>
        <c:minorTickMark val="none"/>
        <c:tickLblPos val="nextTo"/>
        <c:crossAx val="299356928"/>
        <c:crosses val="autoZero"/>
        <c:auto val="1"/>
        <c:lblOffset val="100"/>
        <c:baseTimeUnit val="months"/>
      </c:dateAx>
      <c:valAx>
        <c:axId val="299356928"/>
        <c:scaling>
          <c:orientation val="minMax"/>
          <c:min val="-400"/>
        </c:scaling>
        <c:delete val="0"/>
        <c:axPos val="l"/>
        <c:majorGridlines/>
        <c:numFmt formatCode="#,##0.0" sourceLinked="1"/>
        <c:majorTickMark val="none"/>
        <c:minorTickMark val="none"/>
        <c:tickLblPos val="nextTo"/>
        <c:crossAx val="299355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950188348987342E-2"/>
          <c:y val="6.1305114638447969E-2"/>
          <c:w val="0.9319339183706824"/>
          <c:h val="0.766906914413476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Monatsdaten!$M$1</c:f>
              <c:strCache>
                <c:ptCount val="1"/>
                <c:pt idx="0">
                  <c:v>Eigenstrom Verbauch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7E9-EA49-8068-A5433438A05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E9-EA49-8068-A5433438A052}"/>
              </c:ext>
            </c:extLst>
          </c:dPt>
          <c:cat>
            <c:numRef>
              <c:f>Monatsdaten!$B$2:$B$49</c:f>
              <c:numCache>
                <c:formatCode>[$-407]mmmm\ yy;@</c:formatCode>
                <c:ptCount val="48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</c:numCache>
            </c:numRef>
          </c:cat>
          <c:val>
            <c:numRef>
              <c:f>Monatsdaten!$M$2:$M$49</c:f>
              <c:numCache>
                <c:formatCode>#,##0.0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E9-EA49-8068-A5433438A052}"/>
            </c:ext>
          </c:extLst>
        </c:ser>
        <c:ser>
          <c:idx val="1"/>
          <c:order val="1"/>
          <c:tx>
            <c:strRef>
              <c:f>Monatsdaten!$S$1</c:f>
              <c:strCache>
                <c:ptCount val="1"/>
                <c:pt idx="0">
                  <c:v>Mieterstrom Verbrauch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Monatsdaten!$B$2:$B$49</c:f>
              <c:numCache>
                <c:formatCode>[$-407]mmmm\ yy;@</c:formatCode>
                <c:ptCount val="48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</c:numCache>
            </c:numRef>
          </c:cat>
          <c:val>
            <c:numRef>
              <c:f>Monatsdaten!$S$2:$S$49</c:f>
              <c:numCache>
                <c:formatCode>#,##0.0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E9-EA49-8068-A5433438A052}"/>
            </c:ext>
          </c:extLst>
        </c:ser>
        <c:ser>
          <c:idx val="2"/>
          <c:order val="2"/>
          <c:tx>
            <c:strRef>
              <c:f>Monatsdaten!$U$1</c:f>
              <c:strCache>
                <c:ptCount val="1"/>
                <c:pt idx="0">
                  <c:v>Heizstrom Verbrauch
inkl. Heizstab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Monatsdaten!$B$2:$B$49</c:f>
              <c:numCache>
                <c:formatCode>[$-407]mmmm\ yy;@</c:formatCode>
                <c:ptCount val="48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</c:numCache>
            </c:numRef>
          </c:cat>
          <c:val>
            <c:numRef>
              <c:f>Monatsdaten!$U$2:$U$49</c:f>
              <c:numCache>
                <c:formatCode>#,##0.0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E9-EA49-8068-A5433438A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326892160"/>
        <c:axId val="329384320"/>
      </c:barChart>
      <c:lineChart>
        <c:grouping val="standard"/>
        <c:varyColors val="0"/>
        <c:ser>
          <c:idx val="4"/>
          <c:order val="3"/>
          <c:tx>
            <c:strRef>
              <c:f>Monatsdaten!$AC$1</c:f>
              <c:strCache>
                <c:ptCount val="1"/>
                <c:pt idx="0">
                  <c:v>Stromeinspeisung
(2.8.0)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87E9-EA49-8068-A5433438A052}"/>
              </c:ext>
            </c:extLst>
          </c:dPt>
          <c:cat>
            <c:numRef>
              <c:f>(Monatsdaten!$B$2:$B$13,Monatsdaten!$B$14:$B$25,Monatsdaten!$B$26:$B$37,Monatsdaten!$B$38:$B$49)</c:f>
              <c:numCache>
                <c:formatCode>[$-407]mmmm\ yy;@</c:formatCode>
                <c:ptCount val="48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</c:numCache>
            </c:numRef>
          </c:cat>
          <c:val>
            <c:numRef>
              <c:f>Monatsdaten!$AC$2:$AC$49</c:f>
              <c:numCache>
                <c:formatCode>#,##0.0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E9-EA49-8068-A5433438A052}"/>
            </c:ext>
          </c:extLst>
        </c:ser>
        <c:ser>
          <c:idx val="3"/>
          <c:order val="4"/>
          <c:tx>
            <c:strRef>
              <c:f>Monatsdaten!$AA$1</c:f>
              <c:strCache>
                <c:ptCount val="1"/>
                <c:pt idx="0">
                  <c:v>Strombezug
(1.8.0)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(Monatsdaten!$B$2:$B$13,Monatsdaten!$B$14:$B$25,Monatsdaten!$B$26:$B$37,Monatsdaten!$B$38:$B$49)</c:f>
              <c:numCache>
                <c:formatCode>[$-407]mmmm\ yy;@</c:formatCode>
                <c:ptCount val="48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</c:numCache>
            </c:numRef>
          </c:cat>
          <c:val>
            <c:numRef>
              <c:f>Monatsdaten!$AA$2:$AA$49</c:f>
              <c:numCache>
                <c:formatCode>#,##0.0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E9-EA49-8068-A5433438A052}"/>
            </c:ext>
          </c:extLst>
        </c:ser>
        <c:ser>
          <c:idx val="5"/>
          <c:order val="5"/>
          <c:tx>
            <c:strRef>
              <c:f>Monatsdaten!$E$1</c:f>
              <c:strCache>
                <c:ptCount val="1"/>
                <c:pt idx="0">
                  <c:v>PV Stromertrag</c:v>
                </c:pt>
              </c:strCache>
            </c:strRef>
          </c:tx>
          <c:spPr>
            <a:ln w="38100" cap="rnd">
              <a:solidFill>
                <a:srgbClr val="FBDD00"/>
              </a:solidFill>
              <a:round/>
            </a:ln>
            <a:effectLst/>
          </c:spPr>
          <c:marker>
            <c:symbol val="none"/>
          </c:marker>
          <c:cat>
            <c:numRef>
              <c:f>(Monatsdaten!$B$2:$B$13,Monatsdaten!$B$14:$B$25,Monatsdaten!$B$26:$B$37,Monatsdaten!$B$38:$B$49)</c:f>
              <c:numCache>
                <c:formatCode>[$-407]mmmm\ yy;@</c:formatCode>
                <c:ptCount val="48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</c:numCache>
            </c:numRef>
          </c:cat>
          <c:val>
            <c:numRef>
              <c:f>Monatsdaten!$E$2:$E$49</c:f>
              <c:numCache>
                <c:formatCode>#,##0.0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C2-D04B-9F68-2EF936C50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387392"/>
        <c:axId val="329385856"/>
      </c:lineChart>
      <c:dateAx>
        <c:axId val="326892160"/>
        <c:scaling>
          <c:orientation val="minMax"/>
        </c:scaling>
        <c:delete val="1"/>
        <c:axPos val="b"/>
        <c:numFmt formatCode="[$-407]mmmm\ yy;@" sourceLinked="1"/>
        <c:majorTickMark val="none"/>
        <c:minorTickMark val="none"/>
        <c:tickLblPos val="nextTo"/>
        <c:crossAx val="329384320"/>
        <c:crosses val="autoZero"/>
        <c:auto val="1"/>
        <c:lblOffset val="100"/>
        <c:baseTimeUnit val="months"/>
      </c:dateAx>
      <c:valAx>
        <c:axId val="3293843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6892160"/>
        <c:crosses val="autoZero"/>
        <c:crossBetween val="between"/>
      </c:valAx>
      <c:valAx>
        <c:axId val="329385856"/>
        <c:scaling>
          <c:orientation val="minMax"/>
          <c:max val="4000"/>
        </c:scaling>
        <c:delete val="0"/>
        <c:axPos val="r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9387392"/>
        <c:crosses val="max"/>
        <c:crossBetween val="between"/>
      </c:valAx>
      <c:dateAx>
        <c:axId val="329387392"/>
        <c:scaling>
          <c:orientation val="minMax"/>
        </c:scaling>
        <c:delete val="1"/>
        <c:axPos val="b"/>
        <c:numFmt formatCode="[$-407]mmmm\ yy;@" sourceLinked="1"/>
        <c:majorTickMark val="out"/>
        <c:minorTickMark val="none"/>
        <c:tickLblPos val="nextTo"/>
        <c:crossAx val="329385856"/>
        <c:crosses val="autoZero"/>
        <c:auto val="1"/>
        <c:lblOffset val="100"/>
        <c:baseTimeUnit val="months"/>
        <c:majorUnit val="1"/>
        <c:minorUnit val="1"/>
      </c:date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Monatsdaten!$AW$2:$AW$13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8B-4F4C-AE35-8B49F5D391BC}"/>
            </c:ext>
          </c:extLst>
        </c:ser>
        <c:ser>
          <c:idx val="1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Monatsdaten!$AW$14:$AW$25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8B-4F4C-AE35-8B49F5D391BC}"/>
            </c:ext>
          </c:extLst>
        </c:ser>
        <c:ser>
          <c:idx val="2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Monatsdaten!$AW$26:$AW$37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D-6A40-9F5B-C4E5AAD2BDAC}"/>
            </c:ext>
          </c:extLst>
        </c:ser>
        <c:ser>
          <c:idx val="3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Monatsdaten!$AW$38:$AW$49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D-6A40-9F5B-C4E5AAD2B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446528"/>
        <c:axId val="329448064"/>
      </c:barChart>
      <c:dateAx>
        <c:axId val="329446528"/>
        <c:scaling>
          <c:orientation val="minMax"/>
        </c:scaling>
        <c:delete val="0"/>
        <c:axPos val="b"/>
        <c:numFmt formatCode="[$-407]m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9448064"/>
        <c:crosses val="autoZero"/>
        <c:auto val="1"/>
        <c:lblOffset val="100"/>
        <c:baseTimeUnit val="months"/>
      </c:dateAx>
      <c:valAx>
        <c:axId val="32944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2944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Jahresdaten!$A$8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Monatsdaten!$BB$2:$BB$13</c:f>
              <c:numCache>
                <c:formatCode>#,##0.00\ "€"</c:formatCode>
                <c:ptCount val="12"/>
                <c:pt idx="0">
                  <c:v>-18.833333333333336</c:v>
                </c:pt>
                <c:pt idx="1">
                  <c:v>-18.833333333333336</c:v>
                </c:pt>
                <c:pt idx="2">
                  <c:v>-13.916666666666668</c:v>
                </c:pt>
                <c:pt idx="3">
                  <c:v>-13.916666666666668</c:v>
                </c:pt>
                <c:pt idx="4">
                  <c:v>-12.029213666666667</c:v>
                </c:pt>
                <c:pt idx="5">
                  <c:v>-4.916666666666667</c:v>
                </c:pt>
                <c:pt idx="6">
                  <c:v>-4.916666666666667</c:v>
                </c:pt>
                <c:pt idx="7">
                  <c:v>-4.916666666666667</c:v>
                </c:pt>
                <c:pt idx="8">
                  <c:v>-4.916666666666667</c:v>
                </c:pt>
                <c:pt idx="9">
                  <c:v>-4.916666666666667</c:v>
                </c:pt>
                <c:pt idx="10">
                  <c:v>-4.916666666666667</c:v>
                </c:pt>
                <c:pt idx="11">
                  <c:v>-4.916666666666667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2-0B42-8896-0382FD18AA6E}"/>
            </c:ext>
          </c:extLst>
        </c:ser>
        <c:ser>
          <c:idx val="1"/>
          <c:order val="1"/>
          <c:tx>
            <c:strRef>
              <c:f>Jahresdaten!$A$9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Monatsdaten!$BB$14:$BB$25</c:f>
              <c:numCache>
                <c:formatCode>#,##0.00\ "€"</c:formatCode>
                <c:ptCount val="12"/>
                <c:pt idx="0">
                  <c:v>-4.916666666666667</c:v>
                </c:pt>
                <c:pt idx="1">
                  <c:v>-4.916666666666667</c:v>
                </c:pt>
                <c:pt idx="2">
                  <c:v>-4.916666666666667</c:v>
                </c:pt>
                <c:pt idx="3">
                  <c:v>-4.916666666666667</c:v>
                </c:pt>
                <c:pt idx="4">
                  <c:v>-4.916666666666667</c:v>
                </c:pt>
                <c:pt idx="5">
                  <c:v>-4.916666666666667</c:v>
                </c:pt>
                <c:pt idx="6">
                  <c:v>-9.9166666666666661</c:v>
                </c:pt>
                <c:pt idx="7">
                  <c:v>-9.9166666666666661</c:v>
                </c:pt>
                <c:pt idx="8">
                  <c:v>-9.9166666666666661</c:v>
                </c:pt>
                <c:pt idx="9">
                  <c:v>-9.9166666666666661</c:v>
                </c:pt>
                <c:pt idx="10">
                  <c:v>-9.9166666666666661</c:v>
                </c:pt>
                <c:pt idx="11">
                  <c:v>-9.9166666666666661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32-0B42-8896-0382FD18AA6E}"/>
            </c:ext>
          </c:extLst>
        </c:ser>
        <c:ser>
          <c:idx val="2"/>
          <c:order val="2"/>
          <c:tx>
            <c:strRef>
              <c:f>Jahresdaten!$A$10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Monatsdaten!$BB$26:$BB$37</c:f>
              <c:numCache>
                <c:formatCode>#,##0.00\ "€"</c:formatCode>
                <c:ptCount val="12"/>
                <c:pt idx="0">
                  <c:v>-9.9166666666666661</c:v>
                </c:pt>
                <c:pt idx="1">
                  <c:v>-9.9166666666666661</c:v>
                </c:pt>
                <c:pt idx="2">
                  <c:v>-9.9166666666666661</c:v>
                </c:pt>
                <c:pt idx="3">
                  <c:v>-9.9166666666666661</c:v>
                </c:pt>
                <c:pt idx="4">
                  <c:v>-9.9166666666666661</c:v>
                </c:pt>
                <c:pt idx="5">
                  <c:v>-9.9166666666666661</c:v>
                </c:pt>
                <c:pt idx="6">
                  <c:v>-9.9166666666666661</c:v>
                </c:pt>
                <c:pt idx="7">
                  <c:v>-9.9166666666666661</c:v>
                </c:pt>
                <c:pt idx="8">
                  <c:v>-9.9166666666666661</c:v>
                </c:pt>
                <c:pt idx="9">
                  <c:v>-9.9166666666666661</c:v>
                </c:pt>
                <c:pt idx="10">
                  <c:v>-9.9166666666666661</c:v>
                </c:pt>
                <c:pt idx="11">
                  <c:v>-9.9166666666666661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C5-524F-AC79-6AC36D4A90D1}"/>
            </c:ext>
          </c:extLst>
        </c:ser>
        <c:ser>
          <c:idx val="3"/>
          <c:order val="3"/>
          <c:tx>
            <c:strRef>
              <c:f>Jahresdaten!$A$11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invertIfNegative val="0"/>
          <c:cat>
            <c:numRef>
              <c:f>Jahresdaten!$A$42:$A$53</c:f>
              <c:numCache>
                <c:formatCode>[$-407]mmmm;@</c:formatCode>
                <c:ptCount val="12"/>
                <c:pt idx="0">
                  <c:v>275</c:v>
                </c:pt>
                <c:pt idx="1">
                  <c:v>306</c:v>
                </c:pt>
                <c:pt idx="2">
                  <c:v>336</c:v>
                </c:pt>
                <c:pt idx="3">
                  <c:v>367</c:v>
                </c:pt>
                <c:pt idx="4">
                  <c:v>398</c:v>
                </c:pt>
                <c:pt idx="5">
                  <c:v>426</c:v>
                </c:pt>
                <c:pt idx="6">
                  <c:v>457</c:v>
                </c:pt>
                <c:pt idx="7">
                  <c:v>487</c:v>
                </c:pt>
                <c:pt idx="8">
                  <c:v>518</c:v>
                </c:pt>
                <c:pt idx="9">
                  <c:v>548</c:v>
                </c:pt>
                <c:pt idx="10">
                  <c:v>579</c:v>
                </c:pt>
                <c:pt idx="11">
                  <c:v>610</c:v>
                </c:pt>
              </c:numCache>
            </c:numRef>
          </c:cat>
          <c:val>
            <c:numRef>
              <c:f>Monatsdaten!$BB$38:$BB$49</c:f>
              <c:numCache>
                <c:formatCode>#,##0.00\ "€"</c:formatCode>
                <c:ptCount val="12"/>
                <c:pt idx="0">
                  <c:v>-9.9166666666666661</c:v>
                </c:pt>
                <c:pt idx="1">
                  <c:v>-9.9166666666666661</c:v>
                </c:pt>
                <c:pt idx="2">
                  <c:v>-9.9166666666666661</c:v>
                </c:pt>
                <c:pt idx="3">
                  <c:v>-9.9166666666666661</c:v>
                </c:pt>
                <c:pt idx="4">
                  <c:v>-9.9166666666666661</c:v>
                </c:pt>
                <c:pt idx="5">
                  <c:v>-9.9166666666666661</c:v>
                </c:pt>
                <c:pt idx="6">
                  <c:v>-9.9166666666666661</c:v>
                </c:pt>
                <c:pt idx="7">
                  <c:v>-9.9166666666666661</c:v>
                </c:pt>
                <c:pt idx="8">
                  <c:v>-9.9166666666666661</c:v>
                </c:pt>
                <c:pt idx="9">
                  <c:v>-9.9166666666666661</c:v>
                </c:pt>
                <c:pt idx="10">
                  <c:v>-9.9166666666666661</c:v>
                </c:pt>
                <c:pt idx="11">
                  <c:v>-9.9166666666666661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C5-524F-AC79-6AC36D4A9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881984"/>
        <c:axId val="339883520"/>
      </c:barChart>
      <c:dateAx>
        <c:axId val="339881984"/>
        <c:scaling>
          <c:orientation val="minMax"/>
        </c:scaling>
        <c:delete val="0"/>
        <c:axPos val="b"/>
        <c:numFmt formatCode="[$-407]m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9883520"/>
        <c:crosses val="autoZero"/>
        <c:auto val="1"/>
        <c:lblOffset val="100"/>
        <c:baseTimeUnit val="months"/>
      </c:dateAx>
      <c:valAx>
        <c:axId val="33988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9881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Monatsdaten!$BA$1</c:f>
              <c:strCache>
                <c:ptCount val="1"/>
                <c:pt idx="0">
                  <c:v>Gesamtstrom Bilanz Verlauf €</c:v>
                </c:pt>
              </c:strCache>
            </c:strRef>
          </c:tx>
          <c:spPr>
            <a:ln w="34925" cap="rnd">
              <a:solidFill>
                <a:schemeClr val="dk1">
                  <a:tint val="885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Monatsdaten!$B$2:$B$49</c:f>
              <c:numCache>
                <c:formatCode>[$-407]mmmm\ yy;@</c:formatCode>
                <c:ptCount val="48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43739</c:v>
                </c:pt>
                <c:pt idx="13">
                  <c:v>43770</c:v>
                </c:pt>
                <c:pt idx="14">
                  <c:v>43800</c:v>
                </c:pt>
                <c:pt idx="15">
                  <c:v>43831</c:v>
                </c:pt>
                <c:pt idx="16">
                  <c:v>43862</c:v>
                </c:pt>
                <c:pt idx="17">
                  <c:v>43891</c:v>
                </c:pt>
                <c:pt idx="18">
                  <c:v>43922</c:v>
                </c:pt>
                <c:pt idx="19">
                  <c:v>43952</c:v>
                </c:pt>
                <c:pt idx="20">
                  <c:v>43983</c:v>
                </c:pt>
                <c:pt idx="21">
                  <c:v>44013</c:v>
                </c:pt>
                <c:pt idx="22">
                  <c:v>44044</c:v>
                </c:pt>
                <c:pt idx="23">
                  <c:v>44075</c:v>
                </c:pt>
                <c:pt idx="24">
                  <c:v>44105</c:v>
                </c:pt>
                <c:pt idx="25">
                  <c:v>44136</c:v>
                </c:pt>
                <c:pt idx="26">
                  <c:v>44166</c:v>
                </c:pt>
                <c:pt idx="27">
                  <c:v>44197</c:v>
                </c:pt>
                <c:pt idx="28">
                  <c:v>44228</c:v>
                </c:pt>
                <c:pt idx="29">
                  <c:v>44256</c:v>
                </c:pt>
                <c:pt idx="30">
                  <c:v>44287</c:v>
                </c:pt>
                <c:pt idx="31">
                  <c:v>44317</c:v>
                </c:pt>
                <c:pt idx="32">
                  <c:v>44348</c:v>
                </c:pt>
                <c:pt idx="33">
                  <c:v>44378</c:v>
                </c:pt>
                <c:pt idx="34">
                  <c:v>44409</c:v>
                </c:pt>
                <c:pt idx="35">
                  <c:v>44440</c:v>
                </c:pt>
                <c:pt idx="36">
                  <c:v>44470</c:v>
                </c:pt>
                <c:pt idx="37">
                  <c:v>44501</c:v>
                </c:pt>
                <c:pt idx="38">
                  <c:v>44531</c:v>
                </c:pt>
                <c:pt idx="39">
                  <c:v>44562</c:v>
                </c:pt>
                <c:pt idx="40">
                  <c:v>44593</c:v>
                </c:pt>
                <c:pt idx="41">
                  <c:v>44621</c:v>
                </c:pt>
                <c:pt idx="42">
                  <c:v>44652</c:v>
                </c:pt>
                <c:pt idx="43">
                  <c:v>44682</c:v>
                </c:pt>
                <c:pt idx="44">
                  <c:v>44713</c:v>
                </c:pt>
                <c:pt idx="45">
                  <c:v>44743</c:v>
                </c:pt>
                <c:pt idx="46">
                  <c:v>44774</c:v>
                </c:pt>
                <c:pt idx="47">
                  <c:v>44805</c:v>
                </c:pt>
              </c:numCache>
            </c:numRef>
          </c:cat>
          <c:val>
            <c:numRef>
              <c:f>Monatsdaten!$BA$2:$BA$49</c:f>
              <c:numCache>
                <c:formatCode>#,##0.00\ "€"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-13.916666666666668</c:v>
                </c:pt>
                <c:pt idx="3">
                  <c:v>-27.833333333333336</c:v>
                </c:pt>
                <c:pt idx="4">
                  <c:v>-39.862547000000006</c:v>
                </c:pt>
                <c:pt idx="5">
                  <c:v>-44.779213666666671</c:v>
                </c:pt>
                <c:pt idx="6">
                  <c:v>-49.695880333333335</c:v>
                </c:pt>
                <c:pt idx="7">
                  <c:v>-54.612546999999999</c:v>
                </c:pt>
                <c:pt idx="8">
                  <c:v>-59.529213666666664</c:v>
                </c:pt>
                <c:pt idx="9">
                  <c:v>-64.445880333333335</c:v>
                </c:pt>
                <c:pt idx="10">
                  <c:v>-69.362547000000006</c:v>
                </c:pt>
                <c:pt idx="11">
                  <c:v>-74.279213666666678</c:v>
                </c:pt>
                <c:pt idx="12">
                  <c:v>-79.195880333333349</c:v>
                </c:pt>
                <c:pt idx="13">
                  <c:v>-84.112547000000021</c:v>
                </c:pt>
                <c:pt idx="14">
                  <c:v>-89.029213666666692</c:v>
                </c:pt>
                <c:pt idx="15">
                  <c:v>-93.945880333333363</c:v>
                </c:pt>
                <c:pt idx="16">
                  <c:v>-98.862547000000035</c:v>
                </c:pt>
                <c:pt idx="17">
                  <c:v>-103.77921366666671</c:v>
                </c:pt>
                <c:pt idx="18">
                  <c:v>-113.69588033333338</c:v>
                </c:pt>
                <c:pt idx="19">
                  <c:v>-123.61254700000005</c:v>
                </c:pt>
                <c:pt idx="20">
                  <c:v>-133.52921366666672</c:v>
                </c:pt>
                <c:pt idx="21">
                  <c:v>-143.44588033333338</c:v>
                </c:pt>
                <c:pt idx="22">
                  <c:v>-153.36254700000003</c:v>
                </c:pt>
                <c:pt idx="23">
                  <c:v>-163.27921366666669</c:v>
                </c:pt>
                <c:pt idx="24">
                  <c:v>-173.19588033333335</c:v>
                </c:pt>
                <c:pt idx="25">
                  <c:v>-183.11254700000001</c:v>
                </c:pt>
                <c:pt idx="26">
                  <c:v>-193.02921366666666</c:v>
                </c:pt>
                <c:pt idx="27">
                  <c:v>-202.94588033333332</c:v>
                </c:pt>
                <c:pt idx="28">
                  <c:v>-212.86254699999998</c:v>
                </c:pt>
                <c:pt idx="29">
                  <c:v>-222.77921366666664</c:v>
                </c:pt>
                <c:pt idx="30">
                  <c:v>-232.69588033333329</c:v>
                </c:pt>
                <c:pt idx="31">
                  <c:v>-242.61254699999995</c:v>
                </c:pt>
                <c:pt idx="32">
                  <c:v>-252.52921366666661</c:v>
                </c:pt>
                <c:pt idx="33">
                  <c:v>-262.44588033333326</c:v>
                </c:pt>
                <c:pt idx="34">
                  <c:v>-272.36254699999995</c:v>
                </c:pt>
                <c:pt idx="35">
                  <c:v>-282.27921366666664</c:v>
                </c:pt>
                <c:pt idx="36">
                  <c:v>-292.19588033333332</c:v>
                </c:pt>
                <c:pt idx="37">
                  <c:v>-302.11254700000001</c:v>
                </c:pt>
                <c:pt idx="38">
                  <c:v>-312.02921366666669</c:v>
                </c:pt>
                <c:pt idx="39">
                  <c:v>-321.94588033333338</c:v>
                </c:pt>
                <c:pt idx="40">
                  <c:v>-331.86254700000006</c:v>
                </c:pt>
                <c:pt idx="41">
                  <c:v>-341.77921366666675</c:v>
                </c:pt>
                <c:pt idx="42">
                  <c:v>-351.69588033333343</c:v>
                </c:pt>
                <c:pt idx="43">
                  <c:v>-361.61254700000012</c:v>
                </c:pt>
                <c:pt idx="44">
                  <c:v>-371.52921366666681</c:v>
                </c:pt>
                <c:pt idx="45">
                  <c:v>-381.44588033333349</c:v>
                </c:pt>
                <c:pt idx="46">
                  <c:v>-391.36254700000018</c:v>
                </c:pt>
                <c:pt idx="47">
                  <c:v>-401.27921366666686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03-E34E-A595-49D093F98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9939712"/>
        <c:axId val="339941248"/>
      </c:lineChart>
      <c:dateAx>
        <c:axId val="339939712"/>
        <c:scaling>
          <c:orientation val="minMax"/>
        </c:scaling>
        <c:delete val="0"/>
        <c:axPos val="b"/>
        <c:numFmt formatCode="[$-407]mmmm\ yy;@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9941248"/>
        <c:crosses val="autoZero"/>
        <c:auto val="1"/>
        <c:lblOffset val="100"/>
        <c:baseTimeUnit val="months"/>
      </c:dateAx>
      <c:valAx>
        <c:axId val="33994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99397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283380701672644E-2"/>
          <c:y val="1.9230769230769232E-2"/>
          <c:w val="0.98606573172436285"/>
          <c:h val="0.792604757447277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Monatsdaten!$BX$1</c:f>
              <c:strCache>
                <c:ptCount val="1"/>
                <c:pt idx="0">
                  <c:v>E-Mobilität (PV)
vs. E-Mobilität (Netzbezug)
Kosten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4736-8A4C-845D-B5D567691877}"/>
              </c:ext>
            </c:extLst>
          </c:dPt>
          <c:cat>
            <c:numRef>
              <c:f>Monatsdaten!$B$38:$B$301</c:f>
              <c:numCache>
                <c:formatCode>[$-407]mmmm\ yy;@</c:formatCode>
                <c:ptCount val="264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  <c:pt idx="45">
                  <c:v>45839</c:v>
                </c:pt>
                <c:pt idx="46">
                  <c:v>45870</c:v>
                </c:pt>
                <c:pt idx="47">
                  <c:v>45901</c:v>
                </c:pt>
                <c:pt idx="48">
                  <c:v>45931</c:v>
                </c:pt>
                <c:pt idx="49">
                  <c:v>45962</c:v>
                </c:pt>
                <c:pt idx="50">
                  <c:v>45992</c:v>
                </c:pt>
                <c:pt idx="51">
                  <c:v>46023</c:v>
                </c:pt>
                <c:pt idx="52">
                  <c:v>46054</c:v>
                </c:pt>
                <c:pt idx="53">
                  <c:v>46082</c:v>
                </c:pt>
                <c:pt idx="54">
                  <c:v>46113</c:v>
                </c:pt>
                <c:pt idx="55">
                  <c:v>46143</c:v>
                </c:pt>
                <c:pt idx="56">
                  <c:v>46174</c:v>
                </c:pt>
                <c:pt idx="57">
                  <c:v>46204</c:v>
                </c:pt>
                <c:pt idx="58">
                  <c:v>46235</c:v>
                </c:pt>
                <c:pt idx="59">
                  <c:v>46266</c:v>
                </c:pt>
                <c:pt idx="60">
                  <c:v>46296</c:v>
                </c:pt>
                <c:pt idx="61">
                  <c:v>46327</c:v>
                </c:pt>
                <c:pt idx="62">
                  <c:v>46357</c:v>
                </c:pt>
                <c:pt idx="63">
                  <c:v>46388</c:v>
                </c:pt>
                <c:pt idx="64">
                  <c:v>46419</c:v>
                </c:pt>
                <c:pt idx="65">
                  <c:v>46447</c:v>
                </c:pt>
                <c:pt idx="66">
                  <c:v>46478</c:v>
                </c:pt>
                <c:pt idx="67">
                  <c:v>46508</c:v>
                </c:pt>
                <c:pt idx="68">
                  <c:v>46539</c:v>
                </c:pt>
                <c:pt idx="69">
                  <c:v>46569</c:v>
                </c:pt>
                <c:pt idx="70">
                  <c:v>46600</c:v>
                </c:pt>
                <c:pt idx="71">
                  <c:v>46631</c:v>
                </c:pt>
                <c:pt idx="72">
                  <c:v>46661</c:v>
                </c:pt>
                <c:pt idx="73">
                  <c:v>46692</c:v>
                </c:pt>
                <c:pt idx="74">
                  <c:v>46722</c:v>
                </c:pt>
                <c:pt idx="75">
                  <c:v>46753</c:v>
                </c:pt>
                <c:pt idx="76">
                  <c:v>46784</c:v>
                </c:pt>
                <c:pt idx="77">
                  <c:v>46813</c:v>
                </c:pt>
                <c:pt idx="78">
                  <c:v>46844</c:v>
                </c:pt>
                <c:pt idx="79">
                  <c:v>46874</c:v>
                </c:pt>
                <c:pt idx="80">
                  <c:v>46905</c:v>
                </c:pt>
                <c:pt idx="81">
                  <c:v>46935</c:v>
                </c:pt>
                <c:pt idx="82">
                  <c:v>46966</c:v>
                </c:pt>
                <c:pt idx="83">
                  <c:v>46997</c:v>
                </c:pt>
                <c:pt idx="84">
                  <c:v>47027</c:v>
                </c:pt>
                <c:pt idx="85">
                  <c:v>47058</c:v>
                </c:pt>
                <c:pt idx="86">
                  <c:v>47088</c:v>
                </c:pt>
                <c:pt idx="87">
                  <c:v>47119</c:v>
                </c:pt>
                <c:pt idx="88">
                  <c:v>47150</c:v>
                </c:pt>
                <c:pt idx="89">
                  <c:v>47178</c:v>
                </c:pt>
                <c:pt idx="90">
                  <c:v>47209</c:v>
                </c:pt>
                <c:pt idx="91">
                  <c:v>47239</c:v>
                </c:pt>
                <c:pt idx="92">
                  <c:v>47270</c:v>
                </c:pt>
                <c:pt idx="93">
                  <c:v>47300</c:v>
                </c:pt>
                <c:pt idx="94">
                  <c:v>47331</c:v>
                </c:pt>
                <c:pt idx="95">
                  <c:v>47362</c:v>
                </c:pt>
                <c:pt idx="96">
                  <c:v>47392</c:v>
                </c:pt>
                <c:pt idx="97">
                  <c:v>47423</c:v>
                </c:pt>
                <c:pt idx="98">
                  <c:v>47453</c:v>
                </c:pt>
                <c:pt idx="99">
                  <c:v>47484</c:v>
                </c:pt>
                <c:pt idx="100">
                  <c:v>47515</c:v>
                </c:pt>
                <c:pt idx="101">
                  <c:v>47543</c:v>
                </c:pt>
                <c:pt idx="102">
                  <c:v>47574</c:v>
                </c:pt>
                <c:pt idx="103">
                  <c:v>47604</c:v>
                </c:pt>
                <c:pt idx="104">
                  <c:v>47635</c:v>
                </c:pt>
                <c:pt idx="105">
                  <c:v>47665</c:v>
                </c:pt>
                <c:pt idx="106">
                  <c:v>47696</c:v>
                </c:pt>
                <c:pt idx="107">
                  <c:v>47727</c:v>
                </c:pt>
                <c:pt idx="108">
                  <c:v>47757</c:v>
                </c:pt>
                <c:pt idx="109">
                  <c:v>47788</c:v>
                </c:pt>
                <c:pt idx="110">
                  <c:v>47818</c:v>
                </c:pt>
                <c:pt idx="111">
                  <c:v>47849</c:v>
                </c:pt>
                <c:pt idx="112">
                  <c:v>47880</c:v>
                </c:pt>
                <c:pt idx="113">
                  <c:v>47908</c:v>
                </c:pt>
                <c:pt idx="114">
                  <c:v>47939</c:v>
                </c:pt>
                <c:pt idx="115">
                  <c:v>47969</c:v>
                </c:pt>
                <c:pt idx="116">
                  <c:v>48000</c:v>
                </c:pt>
                <c:pt idx="117">
                  <c:v>48030</c:v>
                </c:pt>
                <c:pt idx="118">
                  <c:v>48061</c:v>
                </c:pt>
                <c:pt idx="119">
                  <c:v>48092</c:v>
                </c:pt>
                <c:pt idx="120">
                  <c:v>48122</c:v>
                </c:pt>
                <c:pt idx="121">
                  <c:v>48153</c:v>
                </c:pt>
                <c:pt idx="122">
                  <c:v>48183</c:v>
                </c:pt>
                <c:pt idx="123">
                  <c:v>48214</c:v>
                </c:pt>
                <c:pt idx="124">
                  <c:v>48245</c:v>
                </c:pt>
                <c:pt idx="125">
                  <c:v>48274</c:v>
                </c:pt>
                <c:pt idx="126">
                  <c:v>48305</c:v>
                </c:pt>
                <c:pt idx="127">
                  <c:v>48335</c:v>
                </c:pt>
                <c:pt idx="128">
                  <c:v>48366</c:v>
                </c:pt>
                <c:pt idx="129">
                  <c:v>48396</c:v>
                </c:pt>
                <c:pt idx="130">
                  <c:v>48427</c:v>
                </c:pt>
                <c:pt idx="131">
                  <c:v>48458</c:v>
                </c:pt>
                <c:pt idx="132">
                  <c:v>48488</c:v>
                </c:pt>
                <c:pt idx="133">
                  <c:v>48519</c:v>
                </c:pt>
                <c:pt idx="134">
                  <c:v>48549</c:v>
                </c:pt>
                <c:pt idx="135">
                  <c:v>48580</c:v>
                </c:pt>
                <c:pt idx="136">
                  <c:v>48611</c:v>
                </c:pt>
                <c:pt idx="137">
                  <c:v>48639</c:v>
                </c:pt>
                <c:pt idx="138">
                  <c:v>48670</c:v>
                </c:pt>
                <c:pt idx="139">
                  <c:v>48700</c:v>
                </c:pt>
                <c:pt idx="140">
                  <c:v>48731</c:v>
                </c:pt>
                <c:pt idx="141">
                  <c:v>48761</c:v>
                </c:pt>
                <c:pt idx="142">
                  <c:v>48792</c:v>
                </c:pt>
                <c:pt idx="143">
                  <c:v>48823</c:v>
                </c:pt>
                <c:pt idx="144">
                  <c:v>48853</c:v>
                </c:pt>
                <c:pt idx="145">
                  <c:v>48884</c:v>
                </c:pt>
                <c:pt idx="146">
                  <c:v>48914</c:v>
                </c:pt>
                <c:pt idx="147">
                  <c:v>48945</c:v>
                </c:pt>
                <c:pt idx="148">
                  <c:v>48976</c:v>
                </c:pt>
                <c:pt idx="149">
                  <c:v>49004</c:v>
                </c:pt>
                <c:pt idx="150">
                  <c:v>49035</c:v>
                </c:pt>
                <c:pt idx="151">
                  <c:v>49065</c:v>
                </c:pt>
                <c:pt idx="152">
                  <c:v>49096</c:v>
                </c:pt>
                <c:pt idx="153">
                  <c:v>49126</c:v>
                </c:pt>
                <c:pt idx="154">
                  <c:v>49157</c:v>
                </c:pt>
                <c:pt idx="155">
                  <c:v>49188</c:v>
                </c:pt>
                <c:pt idx="156">
                  <c:v>49218</c:v>
                </c:pt>
                <c:pt idx="157">
                  <c:v>49249</c:v>
                </c:pt>
                <c:pt idx="158">
                  <c:v>49279</c:v>
                </c:pt>
                <c:pt idx="159">
                  <c:v>49310</c:v>
                </c:pt>
                <c:pt idx="160">
                  <c:v>49341</c:v>
                </c:pt>
                <c:pt idx="161">
                  <c:v>49369</c:v>
                </c:pt>
                <c:pt idx="162">
                  <c:v>49400</c:v>
                </c:pt>
                <c:pt idx="163">
                  <c:v>49430</c:v>
                </c:pt>
                <c:pt idx="164">
                  <c:v>49461</c:v>
                </c:pt>
                <c:pt idx="165">
                  <c:v>49491</c:v>
                </c:pt>
                <c:pt idx="166">
                  <c:v>49522</c:v>
                </c:pt>
                <c:pt idx="167">
                  <c:v>49553</c:v>
                </c:pt>
                <c:pt idx="168">
                  <c:v>49583</c:v>
                </c:pt>
                <c:pt idx="169">
                  <c:v>49614</c:v>
                </c:pt>
                <c:pt idx="170">
                  <c:v>49644</c:v>
                </c:pt>
                <c:pt idx="171">
                  <c:v>49675</c:v>
                </c:pt>
                <c:pt idx="172">
                  <c:v>49706</c:v>
                </c:pt>
                <c:pt idx="173">
                  <c:v>49735</c:v>
                </c:pt>
                <c:pt idx="174">
                  <c:v>49766</c:v>
                </c:pt>
                <c:pt idx="175">
                  <c:v>49796</c:v>
                </c:pt>
                <c:pt idx="176">
                  <c:v>49827</c:v>
                </c:pt>
                <c:pt idx="177">
                  <c:v>49857</c:v>
                </c:pt>
                <c:pt idx="178">
                  <c:v>49888</c:v>
                </c:pt>
                <c:pt idx="179">
                  <c:v>49919</c:v>
                </c:pt>
                <c:pt idx="180">
                  <c:v>49949</c:v>
                </c:pt>
                <c:pt idx="181">
                  <c:v>49980</c:v>
                </c:pt>
                <c:pt idx="182">
                  <c:v>50010</c:v>
                </c:pt>
                <c:pt idx="183">
                  <c:v>50041</c:v>
                </c:pt>
                <c:pt idx="184">
                  <c:v>50072</c:v>
                </c:pt>
                <c:pt idx="185">
                  <c:v>50100</c:v>
                </c:pt>
                <c:pt idx="186">
                  <c:v>50131</c:v>
                </c:pt>
                <c:pt idx="187">
                  <c:v>50161</c:v>
                </c:pt>
                <c:pt idx="188">
                  <c:v>50192</c:v>
                </c:pt>
                <c:pt idx="189">
                  <c:v>50222</c:v>
                </c:pt>
                <c:pt idx="190">
                  <c:v>50253</c:v>
                </c:pt>
                <c:pt idx="191">
                  <c:v>50284</c:v>
                </c:pt>
                <c:pt idx="192">
                  <c:v>50314</c:v>
                </c:pt>
                <c:pt idx="193">
                  <c:v>50345</c:v>
                </c:pt>
                <c:pt idx="194">
                  <c:v>50375</c:v>
                </c:pt>
                <c:pt idx="195">
                  <c:v>50406</c:v>
                </c:pt>
                <c:pt idx="196">
                  <c:v>50437</c:v>
                </c:pt>
                <c:pt idx="197">
                  <c:v>50465</c:v>
                </c:pt>
                <c:pt idx="198">
                  <c:v>50496</c:v>
                </c:pt>
                <c:pt idx="199">
                  <c:v>50526</c:v>
                </c:pt>
                <c:pt idx="200">
                  <c:v>50557</c:v>
                </c:pt>
                <c:pt idx="201">
                  <c:v>50587</c:v>
                </c:pt>
                <c:pt idx="202">
                  <c:v>50618</c:v>
                </c:pt>
                <c:pt idx="203">
                  <c:v>50649</c:v>
                </c:pt>
                <c:pt idx="204">
                  <c:v>50679</c:v>
                </c:pt>
                <c:pt idx="205">
                  <c:v>50710</c:v>
                </c:pt>
                <c:pt idx="206">
                  <c:v>50740</c:v>
                </c:pt>
                <c:pt idx="207">
                  <c:v>50771</c:v>
                </c:pt>
                <c:pt idx="208">
                  <c:v>50802</c:v>
                </c:pt>
                <c:pt idx="209">
                  <c:v>50830</c:v>
                </c:pt>
                <c:pt idx="210">
                  <c:v>50861</c:v>
                </c:pt>
                <c:pt idx="211">
                  <c:v>50891</c:v>
                </c:pt>
                <c:pt idx="212">
                  <c:v>50922</c:v>
                </c:pt>
                <c:pt idx="213">
                  <c:v>50952</c:v>
                </c:pt>
                <c:pt idx="214">
                  <c:v>50983</c:v>
                </c:pt>
                <c:pt idx="215">
                  <c:v>51014</c:v>
                </c:pt>
                <c:pt idx="216">
                  <c:v>51044</c:v>
                </c:pt>
                <c:pt idx="217">
                  <c:v>51075</c:v>
                </c:pt>
                <c:pt idx="218">
                  <c:v>51105</c:v>
                </c:pt>
                <c:pt idx="219">
                  <c:v>51136</c:v>
                </c:pt>
                <c:pt idx="220">
                  <c:v>51167</c:v>
                </c:pt>
                <c:pt idx="221">
                  <c:v>51196</c:v>
                </c:pt>
                <c:pt idx="222">
                  <c:v>51227</c:v>
                </c:pt>
                <c:pt idx="223">
                  <c:v>51257</c:v>
                </c:pt>
                <c:pt idx="224">
                  <c:v>51288</c:v>
                </c:pt>
                <c:pt idx="225">
                  <c:v>51318</c:v>
                </c:pt>
                <c:pt idx="226">
                  <c:v>51349</c:v>
                </c:pt>
                <c:pt idx="227">
                  <c:v>51380</c:v>
                </c:pt>
                <c:pt idx="228">
                  <c:v>51410</c:v>
                </c:pt>
                <c:pt idx="229">
                  <c:v>51441</c:v>
                </c:pt>
                <c:pt idx="230">
                  <c:v>51471</c:v>
                </c:pt>
                <c:pt idx="231">
                  <c:v>51502</c:v>
                </c:pt>
                <c:pt idx="232">
                  <c:v>51533</c:v>
                </c:pt>
                <c:pt idx="233">
                  <c:v>51561</c:v>
                </c:pt>
                <c:pt idx="234">
                  <c:v>51592</c:v>
                </c:pt>
                <c:pt idx="235">
                  <c:v>51622</c:v>
                </c:pt>
                <c:pt idx="236">
                  <c:v>51653</c:v>
                </c:pt>
                <c:pt idx="237">
                  <c:v>51683</c:v>
                </c:pt>
                <c:pt idx="238">
                  <c:v>51714</c:v>
                </c:pt>
                <c:pt idx="239">
                  <c:v>51745</c:v>
                </c:pt>
                <c:pt idx="240">
                  <c:v>51775</c:v>
                </c:pt>
                <c:pt idx="241">
                  <c:v>51806</c:v>
                </c:pt>
                <c:pt idx="242">
                  <c:v>51836</c:v>
                </c:pt>
                <c:pt idx="243">
                  <c:v>51867</c:v>
                </c:pt>
                <c:pt idx="244">
                  <c:v>51898</c:v>
                </c:pt>
                <c:pt idx="245">
                  <c:v>51926</c:v>
                </c:pt>
                <c:pt idx="246">
                  <c:v>51957</c:v>
                </c:pt>
                <c:pt idx="247">
                  <c:v>51987</c:v>
                </c:pt>
                <c:pt idx="248">
                  <c:v>52018</c:v>
                </c:pt>
                <c:pt idx="249">
                  <c:v>52048</c:v>
                </c:pt>
                <c:pt idx="250">
                  <c:v>52079</c:v>
                </c:pt>
                <c:pt idx="251">
                  <c:v>52110</c:v>
                </c:pt>
                <c:pt idx="252">
                  <c:v>52140</c:v>
                </c:pt>
                <c:pt idx="253">
                  <c:v>52171</c:v>
                </c:pt>
                <c:pt idx="254">
                  <c:v>52201</c:v>
                </c:pt>
                <c:pt idx="255">
                  <c:v>52232</c:v>
                </c:pt>
                <c:pt idx="256">
                  <c:v>52263</c:v>
                </c:pt>
                <c:pt idx="257">
                  <c:v>52291</c:v>
                </c:pt>
                <c:pt idx="258">
                  <c:v>52322</c:v>
                </c:pt>
                <c:pt idx="259">
                  <c:v>52352</c:v>
                </c:pt>
                <c:pt idx="260">
                  <c:v>52383</c:v>
                </c:pt>
                <c:pt idx="261">
                  <c:v>52413</c:v>
                </c:pt>
                <c:pt idx="262">
                  <c:v>52444</c:v>
                </c:pt>
                <c:pt idx="263">
                  <c:v>52475</c:v>
                </c:pt>
              </c:numCache>
            </c:numRef>
          </c:cat>
          <c:val>
            <c:numRef>
              <c:f>Monatsdaten!$BX$38:$BX$301</c:f>
              <c:numCache>
                <c:formatCode>#,##0.00\ "€"</c:formatCode>
                <c:ptCount val="26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36-8A4C-845D-B5D567691877}"/>
            </c:ext>
          </c:extLst>
        </c:ser>
        <c:ser>
          <c:idx val="1"/>
          <c:order val="2"/>
          <c:tx>
            <c:strRef>
              <c:f>Monatsdaten!$CF$1</c:f>
              <c:strCache>
                <c:ptCount val="1"/>
                <c:pt idx="0">
                  <c:v>E-Mobilität (PV)
vs. Verbrenner
Kosten</c:v>
                </c:pt>
              </c:strCache>
            </c:strRef>
          </c:tx>
          <c:spPr>
            <a:solidFill>
              <a:schemeClr val="accent3">
                <a:alpha val="25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numRef>
              <c:f>Monatsdaten!$B$38:$B$301</c:f>
              <c:numCache>
                <c:formatCode>[$-407]mmmm\ yy;@</c:formatCode>
                <c:ptCount val="264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  <c:pt idx="45">
                  <c:v>45839</c:v>
                </c:pt>
                <c:pt idx="46">
                  <c:v>45870</c:v>
                </c:pt>
                <c:pt idx="47">
                  <c:v>45901</c:v>
                </c:pt>
                <c:pt idx="48">
                  <c:v>45931</c:v>
                </c:pt>
                <c:pt idx="49">
                  <c:v>45962</c:v>
                </c:pt>
                <c:pt idx="50">
                  <c:v>45992</c:v>
                </c:pt>
                <c:pt idx="51">
                  <c:v>46023</c:v>
                </c:pt>
                <c:pt idx="52">
                  <c:v>46054</c:v>
                </c:pt>
                <c:pt idx="53">
                  <c:v>46082</c:v>
                </c:pt>
                <c:pt idx="54">
                  <c:v>46113</c:v>
                </c:pt>
                <c:pt idx="55">
                  <c:v>46143</c:v>
                </c:pt>
                <c:pt idx="56">
                  <c:v>46174</c:v>
                </c:pt>
                <c:pt idx="57">
                  <c:v>46204</c:v>
                </c:pt>
                <c:pt idx="58">
                  <c:v>46235</c:v>
                </c:pt>
                <c:pt idx="59">
                  <c:v>46266</c:v>
                </c:pt>
                <c:pt idx="60">
                  <c:v>46296</c:v>
                </c:pt>
                <c:pt idx="61">
                  <c:v>46327</c:v>
                </c:pt>
                <c:pt idx="62">
                  <c:v>46357</c:v>
                </c:pt>
                <c:pt idx="63">
                  <c:v>46388</c:v>
                </c:pt>
                <c:pt idx="64">
                  <c:v>46419</c:v>
                </c:pt>
                <c:pt idx="65">
                  <c:v>46447</c:v>
                </c:pt>
                <c:pt idx="66">
                  <c:v>46478</c:v>
                </c:pt>
                <c:pt idx="67">
                  <c:v>46508</c:v>
                </c:pt>
                <c:pt idx="68">
                  <c:v>46539</c:v>
                </c:pt>
                <c:pt idx="69">
                  <c:v>46569</c:v>
                </c:pt>
                <c:pt idx="70">
                  <c:v>46600</c:v>
                </c:pt>
                <c:pt idx="71">
                  <c:v>46631</c:v>
                </c:pt>
                <c:pt idx="72">
                  <c:v>46661</c:v>
                </c:pt>
                <c:pt idx="73">
                  <c:v>46692</c:v>
                </c:pt>
                <c:pt idx="74">
                  <c:v>46722</c:v>
                </c:pt>
                <c:pt idx="75">
                  <c:v>46753</c:v>
                </c:pt>
                <c:pt idx="76">
                  <c:v>46784</c:v>
                </c:pt>
                <c:pt idx="77">
                  <c:v>46813</c:v>
                </c:pt>
                <c:pt idx="78">
                  <c:v>46844</c:v>
                </c:pt>
                <c:pt idx="79">
                  <c:v>46874</c:v>
                </c:pt>
                <c:pt idx="80">
                  <c:v>46905</c:v>
                </c:pt>
                <c:pt idx="81">
                  <c:v>46935</c:v>
                </c:pt>
                <c:pt idx="82">
                  <c:v>46966</c:v>
                </c:pt>
                <c:pt idx="83">
                  <c:v>46997</c:v>
                </c:pt>
                <c:pt idx="84">
                  <c:v>47027</c:v>
                </c:pt>
                <c:pt idx="85">
                  <c:v>47058</c:v>
                </c:pt>
                <c:pt idx="86">
                  <c:v>47088</c:v>
                </c:pt>
                <c:pt idx="87">
                  <c:v>47119</c:v>
                </c:pt>
                <c:pt idx="88">
                  <c:v>47150</c:v>
                </c:pt>
                <c:pt idx="89">
                  <c:v>47178</c:v>
                </c:pt>
                <c:pt idx="90">
                  <c:v>47209</c:v>
                </c:pt>
                <c:pt idx="91">
                  <c:v>47239</c:v>
                </c:pt>
                <c:pt idx="92">
                  <c:v>47270</c:v>
                </c:pt>
                <c:pt idx="93">
                  <c:v>47300</c:v>
                </c:pt>
                <c:pt idx="94">
                  <c:v>47331</c:v>
                </c:pt>
                <c:pt idx="95">
                  <c:v>47362</c:v>
                </c:pt>
                <c:pt idx="96">
                  <c:v>47392</c:v>
                </c:pt>
                <c:pt idx="97">
                  <c:v>47423</c:v>
                </c:pt>
                <c:pt idx="98">
                  <c:v>47453</c:v>
                </c:pt>
                <c:pt idx="99">
                  <c:v>47484</c:v>
                </c:pt>
                <c:pt idx="100">
                  <c:v>47515</c:v>
                </c:pt>
                <c:pt idx="101">
                  <c:v>47543</c:v>
                </c:pt>
                <c:pt idx="102">
                  <c:v>47574</c:v>
                </c:pt>
                <c:pt idx="103">
                  <c:v>47604</c:v>
                </c:pt>
                <c:pt idx="104">
                  <c:v>47635</c:v>
                </c:pt>
                <c:pt idx="105">
                  <c:v>47665</c:v>
                </c:pt>
                <c:pt idx="106">
                  <c:v>47696</c:v>
                </c:pt>
                <c:pt idx="107">
                  <c:v>47727</c:v>
                </c:pt>
                <c:pt idx="108">
                  <c:v>47757</c:v>
                </c:pt>
                <c:pt idx="109">
                  <c:v>47788</c:v>
                </c:pt>
                <c:pt idx="110">
                  <c:v>47818</c:v>
                </c:pt>
                <c:pt idx="111">
                  <c:v>47849</c:v>
                </c:pt>
                <c:pt idx="112">
                  <c:v>47880</c:v>
                </c:pt>
                <c:pt idx="113">
                  <c:v>47908</c:v>
                </c:pt>
                <c:pt idx="114">
                  <c:v>47939</c:v>
                </c:pt>
                <c:pt idx="115">
                  <c:v>47969</c:v>
                </c:pt>
                <c:pt idx="116">
                  <c:v>48000</c:v>
                </c:pt>
                <c:pt idx="117">
                  <c:v>48030</c:v>
                </c:pt>
                <c:pt idx="118">
                  <c:v>48061</c:v>
                </c:pt>
                <c:pt idx="119">
                  <c:v>48092</c:v>
                </c:pt>
                <c:pt idx="120">
                  <c:v>48122</c:v>
                </c:pt>
                <c:pt idx="121">
                  <c:v>48153</c:v>
                </c:pt>
                <c:pt idx="122">
                  <c:v>48183</c:v>
                </c:pt>
                <c:pt idx="123">
                  <c:v>48214</c:v>
                </c:pt>
                <c:pt idx="124">
                  <c:v>48245</c:v>
                </c:pt>
                <c:pt idx="125">
                  <c:v>48274</c:v>
                </c:pt>
                <c:pt idx="126">
                  <c:v>48305</c:v>
                </c:pt>
                <c:pt idx="127">
                  <c:v>48335</c:v>
                </c:pt>
                <c:pt idx="128">
                  <c:v>48366</c:v>
                </c:pt>
                <c:pt idx="129">
                  <c:v>48396</c:v>
                </c:pt>
                <c:pt idx="130">
                  <c:v>48427</c:v>
                </c:pt>
                <c:pt idx="131">
                  <c:v>48458</c:v>
                </c:pt>
                <c:pt idx="132">
                  <c:v>48488</c:v>
                </c:pt>
                <c:pt idx="133">
                  <c:v>48519</c:v>
                </c:pt>
                <c:pt idx="134">
                  <c:v>48549</c:v>
                </c:pt>
                <c:pt idx="135">
                  <c:v>48580</c:v>
                </c:pt>
                <c:pt idx="136">
                  <c:v>48611</c:v>
                </c:pt>
                <c:pt idx="137">
                  <c:v>48639</c:v>
                </c:pt>
                <c:pt idx="138">
                  <c:v>48670</c:v>
                </c:pt>
                <c:pt idx="139">
                  <c:v>48700</c:v>
                </c:pt>
                <c:pt idx="140">
                  <c:v>48731</c:v>
                </c:pt>
                <c:pt idx="141">
                  <c:v>48761</c:v>
                </c:pt>
                <c:pt idx="142">
                  <c:v>48792</c:v>
                </c:pt>
                <c:pt idx="143">
                  <c:v>48823</c:v>
                </c:pt>
                <c:pt idx="144">
                  <c:v>48853</c:v>
                </c:pt>
                <c:pt idx="145">
                  <c:v>48884</c:v>
                </c:pt>
                <c:pt idx="146">
                  <c:v>48914</c:v>
                </c:pt>
                <c:pt idx="147">
                  <c:v>48945</c:v>
                </c:pt>
                <c:pt idx="148">
                  <c:v>48976</c:v>
                </c:pt>
                <c:pt idx="149">
                  <c:v>49004</c:v>
                </c:pt>
                <c:pt idx="150">
                  <c:v>49035</c:v>
                </c:pt>
                <c:pt idx="151">
                  <c:v>49065</c:v>
                </c:pt>
                <c:pt idx="152">
                  <c:v>49096</c:v>
                </c:pt>
                <c:pt idx="153">
                  <c:v>49126</c:v>
                </c:pt>
                <c:pt idx="154">
                  <c:v>49157</c:v>
                </c:pt>
                <c:pt idx="155">
                  <c:v>49188</c:v>
                </c:pt>
                <c:pt idx="156">
                  <c:v>49218</c:v>
                </c:pt>
                <c:pt idx="157">
                  <c:v>49249</c:v>
                </c:pt>
                <c:pt idx="158">
                  <c:v>49279</c:v>
                </c:pt>
                <c:pt idx="159">
                  <c:v>49310</c:v>
                </c:pt>
                <c:pt idx="160">
                  <c:v>49341</c:v>
                </c:pt>
                <c:pt idx="161">
                  <c:v>49369</c:v>
                </c:pt>
                <c:pt idx="162">
                  <c:v>49400</c:v>
                </c:pt>
                <c:pt idx="163">
                  <c:v>49430</c:v>
                </c:pt>
                <c:pt idx="164">
                  <c:v>49461</c:v>
                </c:pt>
                <c:pt idx="165">
                  <c:v>49491</c:v>
                </c:pt>
                <c:pt idx="166">
                  <c:v>49522</c:v>
                </c:pt>
                <c:pt idx="167">
                  <c:v>49553</c:v>
                </c:pt>
                <c:pt idx="168">
                  <c:v>49583</c:v>
                </c:pt>
                <c:pt idx="169">
                  <c:v>49614</c:v>
                </c:pt>
                <c:pt idx="170">
                  <c:v>49644</c:v>
                </c:pt>
                <c:pt idx="171">
                  <c:v>49675</c:v>
                </c:pt>
                <c:pt idx="172">
                  <c:v>49706</c:v>
                </c:pt>
                <c:pt idx="173">
                  <c:v>49735</c:v>
                </c:pt>
                <c:pt idx="174">
                  <c:v>49766</c:v>
                </c:pt>
                <c:pt idx="175">
                  <c:v>49796</c:v>
                </c:pt>
                <c:pt idx="176">
                  <c:v>49827</c:v>
                </c:pt>
                <c:pt idx="177">
                  <c:v>49857</c:v>
                </c:pt>
                <c:pt idx="178">
                  <c:v>49888</c:v>
                </c:pt>
                <c:pt idx="179">
                  <c:v>49919</c:v>
                </c:pt>
                <c:pt idx="180">
                  <c:v>49949</c:v>
                </c:pt>
                <c:pt idx="181">
                  <c:v>49980</c:v>
                </c:pt>
                <c:pt idx="182">
                  <c:v>50010</c:v>
                </c:pt>
                <c:pt idx="183">
                  <c:v>50041</c:v>
                </c:pt>
                <c:pt idx="184">
                  <c:v>50072</c:v>
                </c:pt>
                <c:pt idx="185">
                  <c:v>50100</c:v>
                </c:pt>
                <c:pt idx="186">
                  <c:v>50131</c:v>
                </c:pt>
                <c:pt idx="187">
                  <c:v>50161</c:v>
                </c:pt>
                <c:pt idx="188">
                  <c:v>50192</c:v>
                </c:pt>
                <c:pt idx="189">
                  <c:v>50222</c:v>
                </c:pt>
                <c:pt idx="190">
                  <c:v>50253</c:v>
                </c:pt>
                <c:pt idx="191">
                  <c:v>50284</c:v>
                </c:pt>
                <c:pt idx="192">
                  <c:v>50314</c:v>
                </c:pt>
                <c:pt idx="193">
                  <c:v>50345</c:v>
                </c:pt>
                <c:pt idx="194">
                  <c:v>50375</c:v>
                </c:pt>
                <c:pt idx="195">
                  <c:v>50406</c:v>
                </c:pt>
                <c:pt idx="196">
                  <c:v>50437</c:v>
                </c:pt>
                <c:pt idx="197">
                  <c:v>50465</c:v>
                </c:pt>
                <c:pt idx="198">
                  <c:v>50496</c:v>
                </c:pt>
                <c:pt idx="199">
                  <c:v>50526</c:v>
                </c:pt>
                <c:pt idx="200">
                  <c:v>50557</c:v>
                </c:pt>
                <c:pt idx="201">
                  <c:v>50587</c:v>
                </c:pt>
                <c:pt idx="202">
                  <c:v>50618</c:v>
                </c:pt>
                <c:pt idx="203">
                  <c:v>50649</c:v>
                </c:pt>
                <c:pt idx="204">
                  <c:v>50679</c:v>
                </c:pt>
                <c:pt idx="205">
                  <c:v>50710</c:v>
                </c:pt>
                <c:pt idx="206">
                  <c:v>50740</c:v>
                </c:pt>
                <c:pt idx="207">
                  <c:v>50771</c:v>
                </c:pt>
                <c:pt idx="208">
                  <c:v>50802</c:v>
                </c:pt>
                <c:pt idx="209">
                  <c:v>50830</c:v>
                </c:pt>
                <c:pt idx="210">
                  <c:v>50861</c:v>
                </c:pt>
                <c:pt idx="211">
                  <c:v>50891</c:v>
                </c:pt>
                <c:pt idx="212">
                  <c:v>50922</c:v>
                </c:pt>
                <c:pt idx="213">
                  <c:v>50952</c:v>
                </c:pt>
                <c:pt idx="214">
                  <c:v>50983</c:v>
                </c:pt>
                <c:pt idx="215">
                  <c:v>51014</c:v>
                </c:pt>
                <c:pt idx="216">
                  <c:v>51044</c:v>
                </c:pt>
                <c:pt idx="217">
                  <c:v>51075</c:v>
                </c:pt>
                <c:pt idx="218">
                  <c:v>51105</c:v>
                </c:pt>
                <c:pt idx="219">
                  <c:v>51136</c:v>
                </c:pt>
                <c:pt idx="220">
                  <c:v>51167</c:v>
                </c:pt>
                <c:pt idx="221">
                  <c:v>51196</c:v>
                </c:pt>
                <c:pt idx="222">
                  <c:v>51227</c:v>
                </c:pt>
                <c:pt idx="223">
                  <c:v>51257</c:v>
                </c:pt>
                <c:pt idx="224">
                  <c:v>51288</c:v>
                </c:pt>
                <c:pt idx="225">
                  <c:v>51318</c:v>
                </c:pt>
                <c:pt idx="226">
                  <c:v>51349</c:v>
                </c:pt>
                <c:pt idx="227">
                  <c:v>51380</c:v>
                </c:pt>
                <c:pt idx="228">
                  <c:v>51410</c:v>
                </c:pt>
                <c:pt idx="229">
                  <c:v>51441</c:v>
                </c:pt>
                <c:pt idx="230">
                  <c:v>51471</c:v>
                </c:pt>
                <c:pt idx="231">
                  <c:v>51502</c:v>
                </c:pt>
                <c:pt idx="232">
                  <c:v>51533</c:v>
                </c:pt>
                <c:pt idx="233">
                  <c:v>51561</c:v>
                </c:pt>
                <c:pt idx="234">
                  <c:v>51592</c:v>
                </c:pt>
                <c:pt idx="235">
                  <c:v>51622</c:v>
                </c:pt>
                <c:pt idx="236">
                  <c:v>51653</c:v>
                </c:pt>
                <c:pt idx="237">
                  <c:v>51683</c:v>
                </c:pt>
                <c:pt idx="238">
                  <c:v>51714</c:v>
                </c:pt>
                <c:pt idx="239">
                  <c:v>51745</c:v>
                </c:pt>
                <c:pt idx="240">
                  <c:v>51775</c:v>
                </c:pt>
                <c:pt idx="241">
                  <c:v>51806</c:v>
                </c:pt>
                <c:pt idx="242">
                  <c:v>51836</c:v>
                </c:pt>
                <c:pt idx="243">
                  <c:v>51867</c:v>
                </c:pt>
                <c:pt idx="244">
                  <c:v>51898</c:v>
                </c:pt>
                <c:pt idx="245">
                  <c:v>51926</c:v>
                </c:pt>
                <c:pt idx="246">
                  <c:v>51957</c:v>
                </c:pt>
                <c:pt idx="247">
                  <c:v>51987</c:v>
                </c:pt>
                <c:pt idx="248">
                  <c:v>52018</c:v>
                </c:pt>
                <c:pt idx="249">
                  <c:v>52048</c:v>
                </c:pt>
                <c:pt idx="250">
                  <c:v>52079</c:v>
                </c:pt>
                <c:pt idx="251">
                  <c:v>52110</c:v>
                </c:pt>
                <c:pt idx="252">
                  <c:v>52140</c:v>
                </c:pt>
                <c:pt idx="253">
                  <c:v>52171</c:v>
                </c:pt>
                <c:pt idx="254">
                  <c:v>52201</c:v>
                </c:pt>
                <c:pt idx="255">
                  <c:v>52232</c:v>
                </c:pt>
                <c:pt idx="256">
                  <c:v>52263</c:v>
                </c:pt>
                <c:pt idx="257">
                  <c:v>52291</c:v>
                </c:pt>
                <c:pt idx="258">
                  <c:v>52322</c:v>
                </c:pt>
                <c:pt idx="259">
                  <c:v>52352</c:v>
                </c:pt>
                <c:pt idx="260">
                  <c:v>52383</c:v>
                </c:pt>
                <c:pt idx="261">
                  <c:v>52413</c:v>
                </c:pt>
                <c:pt idx="262">
                  <c:v>52444</c:v>
                </c:pt>
                <c:pt idx="263">
                  <c:v>52475</c:v>
                </c:pt>
              </c:numCache>
            </c:numRef>
          </c:cat>
          <c:val>
            <c:numRef>
              <c:f>Monatsdaten!$CF$38:$CF$301</c:f>
              <c:numCache>
                <c:formatCode>#,##0.00\ "€"</c:formatCode>
                <c:ptCount val="26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2-4D4B-BBD9-D6DA2EA94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17504"/>
        <c:axId val="299327488"/>
      </c:barChart>
      <c:lineChart>
        <c:grouping val="standard"/>
        <c:varyColors val="0"/>
        <c:ser>
          <c:idx val="3"/>
          <c:order val="1"/>
          <c:tx>
            <c:strRef>
              <c:f>Monatsdaten!$BZ$1</c:f>
              <c:strCache>
                <c:ptCount val="1"/>
                <c:pt idx="0">
                  <c:v>E-Mobilität (PV)
vs. E-Mobilität (Netzbezug)
Kosten
Verlauf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Monatsdaten!$B$38:$B$301</c:f>
              <c:numCache>
                <c:formatCode>[$-407]mmmm\ yy;@</c:formatCode>
                <c:ptCount val="264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  <c:pt idx="45">
                  <c:v>45839</c:v>
                </c:pt>
                <c:pt idx="46">
                  <c:v>45870</c:v>
                </c:pt>
                <c:pt idx="47">
                  <c:v>45901</c:v>
                </c:pt>
                <c:pt idx="48">
                  <c:v>45931</c:v>
                </c:pt>
                <c:pt idx="49">
                  <c:v>45962</c:v>
                </c:pt>
                <c:pt idx="50">
                  <c:v>45992</c:v>
                </c:pt>
                <c:pt idx="51">
                  <c:v>46023</c:v>
                </c:pt>
                <c:pt idx="52">
                  <c:v>46054</c:v>
                </c:pt>
                <c:pt idx="53">
                  <c:v>46082</c:v>
                </c:pt>
                <c:pt idx="54">
                  <c:v>46113</c:v>
                </c:pt>
                <c:pt idx="55">
                  <c:v>46143</c:v>
                </c:pt>
                <c:pt idx="56">
                  <c:v>46174</c:v>
                </c:pt>
                <c:pt idx="57">
                  <c:v>46204</c:v>
                </c:pt>
                <c:pt idx="58">
                  <c:v>46235</c:v>
                </c:pt>
                <c:pt idx="59">
                  <c:v>46266</c:v>
                </c:pt>
                <c:pt idx="60">
                  <c:v>46296</c:v>
                </c:pt>
                <c:pt idx="61">
                  <c:v>46327</c:v>
                </c:pt>
                <c:pt idx="62">
                  <c:v>46357</c:v>
                </c:pt>
                <c:pt idx="63">
                  <c:v>46388</c:v>
                </c:pt>
                <c:pt idx="64">
                  <c:v>46419</c:v>
                </c:pt>
                <c:pt idx="65">
                  <c:v>46447</c:v>
                </c:pt>
                <c:pt idx="66">
                  <c:v>46478</c:v>
                </c:pt>
                <c:pt idx="67">
                  <c:v>46508</c:v>
                </c:pt>
                <c:pt idx="68">
                  <c:v>46539</c:v>
                </c:pt>
                <c:pt idx="69">
                  <c:v>46569</c:v>
                </c:pt>
                <c:pt idx="70">
                  <c:v>46600</c:v>
                </c:pt>
                <c:pt idx="71">
                  <c:v>46631</c:v>
                </c:pt>
                <c:pt idx="72">
                  <c:v>46661</c:v>
                </c:pt>
                <c:pt idx="73">
                  <c:v>46692</c:v>
                </c:pt>
                <c:pt idx="74">
                  <c:v>46722</c:v>
                </c:pt>
                <c:pt idx="75">
                  <c:v>46753</c:v>
                </c:pt>
                <c:pt idx="76">
                  <c:v>46784</c:v>
                </c:pt>
                <c:pt idx="77">
                  <c:v>46813</c:v>
                </c:pt>
                <c:pt idx="78">
                  <c:v>46844</c:v>
                </c:pt>
                <c:pt idx="79">
                  <c:v>46874</c:v>
                </c:pt>
                <c:pt idx="80">
                  <c:v>46905</c:v>
                </c:pt>
                <c:pt idx="81">
                  <c:v>46935</c:v>
                </c:pt>
                <c:pt idx="82">
                  <c:v>46966</c:v>
                </c:pt>
                <c:pt idx="83">
                  <c:v>46997</c:v>
                </c:pt>
                <c:pt idx="84">
                  <c:v>47027</c:v>
                </c:pt>
                <c:pt idx="85">
                  <c:v>47058</c:v>
                </c:pt>
                <c:pt idx="86">
                  <c:v>47088</c:v>
                </c:pt>
                <c:pt idx="87">
                  <c:v>47119</c:v>
                </c:pt>
                <c:pt idx="88">
                  <c:v>47150</c:v>
                </c:pt>
                <c:pt idx="89">
                  <c:v>47178</c:v>
                </c:pt>
                <c:pt idx="90">
                  <c:v>47209</c:v>
                </c:pt>
                <c:pt idx="91">
                  <c:v>47239</c:v>
                </c:pt>
                <c:pt idx="92">
                  <c:v>47270</c:v>
                </c:pt>
                <c:pt idx="93">
                  <c:v>47300</c:v>
                </c:pt>
                <c:pt idx="94">
                  <c:v>47331</c:v>
                </c:pt>
                <c:pt idx="95">
                  <c:v>47362</c:v>
                </c:pt>
                <c:pt idx="96">
                  <c:v>47392</c:v>
                </c:pt>
                <c:pt idx="97">
                  <c:v>47423</c:v>
                </c:pt>
                <c:pt idx="98">
                  <c:v>47453</c:v>
                </c:pt>
                <c:pt idx="99">
                  <c:v>47484</c:v>
                </c:pt>
                <c:pt idx="100">
                  <c:v>47515</c:v>
                </c:pt>
                <c:pt idx="101">
                  <c:v>47543</c:v>
                </c:pt>
                <c:pt idx="102">
                  <c:v>47574</c:v>
                </c:pt>
                <c:pt idx="103">
                  <c:v>47604</c:v>
                </c:pt>
                <c:pt idx="104">
                  <c:v>47635</c:v>
                </c:pt>
                <c:pt idx="105">
                  <c:v>47665</c:v>
                </c:pt>
                <c:pt idx="106">
                  <c:v>47696</c:v>
                </c:pt>
                <c:pt idx="107">
                  <c:v>47727</c:v>
                </c:pt>
                <c:pt idx="108">
                  <c:v>47757</c:v>
                </c:pt>
                <c:pt idx="109">
                  <c:v>47788</c:v>
                </c:pt>
                <c:pt idx="110">
                  <c:v>47818</c:v>
                </c:pt>
                <c:pt idx="111">
                  <c:v>47849</c:v>
                </c:pt>
                <c:pt idx="112">
                  <c:v>47880</c:v>
                </c:pt>
                <c:pt idx="113">
                  <c:v>47908</c:v>
                </c:pt>
                <c:pt idx="114">
                  <c:v>47939</c:v>
                </c:pt>
                <c:pt idx="115">
                  <c:v>47969</c:v>
                </c:pt>
                <c:pt idx="116">
                  <c:v>48000</c:v>
                </c:pt>
                <c:pt idx="117">
                  <c:v>48030</c:v>
                </c:pt>
                <c:pt idx="118">
                  <c:v>48061</c:v>
                </c:pt>
                <c:pt idx="119">
                  <c:v>48092</c:v>
                </c:pt>
                <c:pt idx="120">
                  <c:v>48122</c:v>
                </c:pt>
                <c:pt idx="121">
                  <c:v>48153</c:v>
                </c:pt>
                <c:pt idx="122">
                  <c:v>48183</c:v>
                </c:pt>
                <c:pt idx="123">
                  <c:v>48214</c:v>
                </c:pt>
                <c:pt idx="124">
                  <c:v>48245</c:v>
                </c:pt>
                <c:pt idx="125">
                  <c:v>48274</c:v>
                </c:pt>
                <c:pt idx="126">
                  <c:v>48305</c:v>
                </c:pt>
                <c:pt idx="127">
                  <c:v>48335</c:v>
                </c:pt>
                <c:pt idx="128">
                  <c:v>48366</c:v>
                </c:pt>
                <c:pt idx="129">
                  <c:v>48396</c:v>
                </c:pt>
                <c:pt idx="130">
                  <c:v>48427</c:v>
                </c:pt>
                <c:pt idx="131">
                  <c:v>48458</c:v>
                </c:pt>
                <c:pt idx="132">
                  <c:v>48488</c:v>
                </c:pt>
                <c:pt idx="133">
                  <c:v>48519</c:v>
                </c:pt>
                <c:pt idx="134">
                  <c:v>48549</c:v>
                </c:pt>
                <c:pt idx="135">
                  <c:v>48580</c:v>
                </c:pt>
                <c:pt idx="136">
                  <c:v>48611</c:v>
                </c:pt>
                <c:pt idx="137">
                  <c:v>48639</c:v>
                </c:pt>
                <c:pt idx="138">
                  <c:v>48670</c:v>
                </c:pt>
                <c:pt idx="139">
                  <c:v>48700</c:v>
                </c:pt>
                <c:pt idx="140">
                  <c:v>48731</c:v>
                </c:pt>
                <c:pt idx="141">
                  <c:v>48761</c:v>
                </c:pt>
                <c:pt idx="142">
                  <c:v>48792</c:v>
                </c:pt>
                <c:pt idx="143">
                  <c:v>48823</c:v>
                </c:pt>
                <c:pt idx="144">
                  <c:v>48853</c:v>
                </c:pt>
                <c:pt idx="145">
                  <c:v>48884</c:v>
                </c:pt>
                <c:pt idx="146">
                  <c:v>48914</c:v>
                </c:pt>
                <c:pt idx="147">
                  <c:v>48945</c:v>
                </c:pt>
                <c:pt idx="148">
                  <c:v>48976</c:v>
                </c:pt>
                <c:pt idx="149">
                  <c:v>49004</c:v>
                </c:pt>
                <c:pt idx="150">
                  <c:v>49035</c:v>
                </c:pt>
                <c:pt idx="151">
                  <c:v>49065</c:v>
                </c:pt>
                <c:pt idx="152">
                  <c:v>49096</c:v>
                </c:pt>
                <c:pt idx="153">
                  <c:v>49126</c:v>
                </c:pt>
                <c:pt idx="154">
                  <c:v>49157</c:v>
                </c:pt>
                <c:pt idx="155">
                  <c:v>49188</c:v>
                </c:pt>
                <c:pt idx="156">
                  <c:v>49218</c:v>
                </c:pt>
                <c:pt idx="157">
                  <c:v>49249</c:v>
                </c:pt>
                <c:pt idx="158">
                  <c:v>49279</c:v>
                </c:pt>
                <c:pt idx="159">
                  <c:v>49310</c:v>
                </c:pt>
                <c:pt idx="160">
                  <c:v>49341</c:v>
                </c:pt>
                <c:pt idx="161">
                  <c:v>49369</c:v>
                </c:pt>
                <c:pt idx="162">
                  <c:v>49400</c:v>
                </c:pt>
                <c:pt idx="163">
                  <c:v>49430</c:v>
                </c:pt>
                <c:pt idx="164">
                  <c:v>49461</c:v>
                </c:pt>
                <c:pt idx="165">
                  <c:v>49491</c:v>
                </c:pt>
                <c:pt idx="166">
                  <c:v>49522</c:v>
                </c:pt>
                <c:pt idx="167">
                  <c:v>49553</c:v>
                </c:pt>
                <c:pt idx="168">
                  <c:v>49583</c:v>
                </c:pt>
                <c:pt idx="169">
                  <c:v>49614</c:v>
                </c:pt>
                <c:pt idx="170">
                  <c:v>49644</c:v>
                </c:pt>
                <c:pt idx="171">
                  <c:v>49675</c:v>
                </c:pt>
                <c:pt idx="172">
                  <c:v>49706</c:v>
                </c:pt>
                <c:pt idx="173">
                  <c:v>49735</c:v>
                </c:pt>
                <c:pt idx="174">
                  <c:v>49766</c:v>
                </c:pt>
                <c:pt idx="175">
                  <c:v>49796</c:v>
                </c:pt>
                <c:pt idx="176">
                  <c:v>49827</c:v>
                </c:pt>
                <c:pt idx="177">
                  <c:v>49857</c:v>
                </c:pt>
                <c:pt idx="178">
                  <c:v>49888</c:v>
                </c:pt>
                <c:pt idx="179">
                  <c:v>49919</c:v>
                </c:pt>
                <c:pt idx="180">
                  <c:v>49949</c:v>
                </c:pt>
                <c:pt idx="181">
                  <c:v>49980</c:v>
                </c:pt>
                <c:pt idx="182">
                  <c:v>50010</c:v>
                </c:pt>
                <c:pt idx="183">
                  <c:v>50041</c:v>
                </c:pt>
                <c:pt idx="184">
                  <c:v>50072</c:v>
                </c:pt>
                <c:pt idx="185">
                  <c:v>50100</c:v>
                </c:pt>
                <c:pt idx="186">
                  <c:v>50131</c:v>
                </c:pt>
                <c:pt idx="187">
                  <c:v>50161</c:v>
                </c:pt>
                <c:pt idx="188">
                  <c:v>50192</c:v>
                </c:pt>
                <c:pt idx="189">
                  <c:v>50222</c:v>
                </c:pt>
                <c:pt idx="190">
                  <c:v>50253</c:v>
                </c:pt>
                <c:pt idx="191">
                  <c:v>50284</c:v>
                </c:pt>
                <c:pt idx="192">
                  <c:v>50314</c:v>
                </c:pt>
                <c:pt idx="193">
                  <c:v>50345</c:v>
                </c:pt>
                <c:pt idx="194">
                  <c:v>50375</c:v>
                </c:pt>
                <c:pt idx="195">
                  <c:v>50406</c:v>
                </c:pt>
                <c:pt idx="196">
                  <c:v>50437</c:v>
                </c:pt>
                <c:pt idx="197">
                  <c:v>50465</c:v>
                </c:pt>
                <c:pt idx="198">
                  <c:v>50496</c:v>
                </c:pt>
                <c:pt idx="199">
                  <c:v>50526</c:v>
                </c:pt>
                <c:pt idx="200">
                  <c:v>50557</c:v>
                </c:pt>
                <c:pt idx="201">
                  <c:v>50587</c:v>
                </c:pt>
                <c:pt idx="202">
                  <c:v>50618</c:v>
                </c:pt>
                <c:pt idx="203">
                  <c:v>50649</c:v>
                </c:pt>
                <c:pt idx="204">
                  <c:v>50679</c:v>
                </c:pt>
                <c:pt idx="205">
                  <c:v>50710</c:v>
                </c:pt>
                <c:pt idx="206">
                  <c:v>50740</c:v>
                </c:pt>
                <c:pt idx="207">
                  <c:v>50771</c:v>
                </c:pt>
                <c:pt idx="208">
                  <c:v>50802</c:v>
                </c:pt>
                <c:pt idx="209">
                  <c:v>50830</c:v>
                </c:pt>
                <c:pt idx="210">
                  <c:v>50861</c:v>
                </c:pt>
                <c:pt idx="211">
                  <c:v>50891</c:v>
                </c:pt>
                <c:pt idx="212">
                  <c:v>50922</c:v>
                </c:pt>
                <c:pt idx="213">
                  <c:v>50952</c:v>
                </c:pt>
                <c:pt idx="214">
                  <c:v>50983</c:v>
                </c:pt>
                <c:pt idx="215">
                  <c:v>51014</c:v>
                </c:pt>
                <c:pt idx="216">
                  <c:v>51044</c:v>
                </c:pt>
                <c:pt idx="217">
                  <c:v>51075</c:v>
                </c:pt>
                <c:pt idx="218">
                  <c:v>51105</c:v>
                </c:pt>
                <c:pt idx="219">
                  <c:v>51136</c:v>
                </c:pt>
                <c:pt idx="220">
                  <c:v>51167</c:v>
                </c:pt>
                <c:pt idx="221">
                  <c:v>51196</c:v>
                </c:pt>
                <c:pt idx="222">
                  <c:v>51227</c:v>
                </c:pt>
                <c:pt idx="223">
                  <c:v>51257</c:v>
                </c:pt>
                <c:pt idx="224">
                  <c:v>51288</c:v>
                </c:pt>
                <c:pt idx="225">
                  <c:v>51318</c:v>
                </c:pt>
                <c:pt idx="226">
                  <c:v>51349</c:v>
                </c:pt>
                <c:pt idx="227">
                  <c:v>51380</c:v>
                </c:pt>
                <c:pt idx="228">
                  <c:v>51410</c:v>
                </c:pt>
                <c:pt idx="229">
                  <c:v>51441</c:v>
                </c:pt>
                <c:pt idx="230">
                  <c:v>51471</c:v>
                </c:pt>
                <c:pt idx="231">
                  <c:v>51502</c:v>
                </c:pt>
                <c:pt idx="232">
                  <c:v>51533</c:v>
                </c:pt>
                <c:pt idx="233">
                  <c:v>51561</c:v>
                </c:pt>
                <c:pt idx="234">
                  <c:v>51592</c:v>
                </c:pt>
                <c:pt idx="235">
                  <c:v>51622</c:v>
                </c:pt>
                <c:pt idx="236">
                  <c:v>51653</c:v>
                </c:pt>
                <c:pt idx="237">
                  <c:v>51683</c:v>
                </c:pt>
                <c:pt idx="238">
                  <c:v>51714</c:v>
                </c:pt>
                <c:pt idx="239">
                  <c:v>51745</c:v>
                </c:pt>
                <c:pt idx="240">
                  <c:v>51775</c:v>
                </c:pt>
                <c:pt idx="241">
                  <c:v>51806</c:v>
                </c:pt>
                <c:pt idx="242">
                  <c:v>51836</c:v>
                </c:pt>
                <c:pt idx="243">
                  <c:v>51867</c:v>
                </c:pt>
                <c:pt idx="244">
                  <c:v>51898</c:v>
                </c:pt>
                <c:pt idx="245">
                  <c:v>51926</c:v>
                </c:pt>
                <c:pt idx="246">
                  <c:v>51957</c:v>
                </c:pt>
                <c:pt idx="247">
                  <c:v>51987</c:v>
                </c:pt>
                <c:pt idx="248">
                  <c:v>52018</c:v>
                </c:pt>
                <c:pt idx="249">
                  <c:v>52048</c:v>
                </c:pt>
                <c:pt idx="250">
                  <c:v>52079</c:v>
                </c:pt>
                <c:pt idx="251">
                  <c:v>52110</c:v>
                </c:pt>
                <c:pt idx="252">
                  <c:v>52140</c:v>
                </c:pt>
                <c:pt idx="253">
                  <c:v>52171</c:v>
                </c:pt>
                <c:pt idx="254">
                  <c:v>52201</c:v>
                </c:pt>
                <c:pt idx="255">
                  <c:v>52232</c:v>
                </c:pt>
                <c:pt idx="256">
                  <c:v>52263</c:v>
                </c:pt>
                <c:pt idx="257">
                  <c:v>52291</c:v>
                </c:pt>
                <c:pt idx="258">
                  <c:v>52322</c:v>
                </c:pt>
                <c:pt idx="259">
                  <c:v>52352</c:v>
                </c:pt>
                <c:pt idx="260">
                  <c:v>52383</c:v>
                </c:pt>
                <c:pt idx="261">
                  <c:v>52413</c:v>
                </c:pt>
                <c:pt idx="262">
                  <c:v>52444</c:v>
                </c:pt>
                <c:pt idx="263">
                  <c:v>52475</c:v>
                </c:pt>
              </c:numCache>
            </c:numRef>
          </c:cat>
          <c:val>
            <c:numRef>
              <c:f>Monatsdaten!$BZ$38:$BZ$301</c:f>
              <c:numCache>
                <c:formatCode>#,##0.00\ "€"</c:formatCode>
                <c:ptCount val="26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36-8A4C-845D-B5D567691877}"/>
            </c:ext>
          </c:extLst>
        </c:ser>
        <c:ser>
          <c:idx val="0"/>
          <c:order val="3"/>
          <c:tx>
            <c:strRef>
              <c:f>Monatsdaten!$CH$1</c:f>
              <c:strCache>
                <c:ptCount val="1"/>
                <c:pt idx="0">
                  <c:v>E-Mobilität (PV)
vs. Verbrenner
Kosten
Verlauf</c:v>
                </c:pt>
              </c:strCache>
            </c:strRef>
          </c:tx>
          <c:spPr>
            <a:ln w="50800" cap="rnd">
              <a:solidFill>
                <a:srgbClr val="FF0000">
                  <a:alpha val="25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1C82-4D4B-BBD9-D6DA2EA944BE}"/>
              </c:ext>
            </c:extLst>
          </c:dPt>
          <c:cat>
            <c:numRef>
              <c:f>Monatsdaten!$B$38:$B$301</c:f>
              <c:numCache>
                <c:formatCode>[$-407]mmmm\ yy;@</c:formatCode>
                <c:ptCount val="264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  <c:pt idx="45">
                  <c:v>45839</c:v>
                </c:pt>
                <c:pt idx="46">
                  <c:v>45870</c:v>
                </c:pt>
                <c:pt idx="47">
                  <c:v>45901</c:v>
                </c:pt>
                <c:pt idx="48">
                  <c:v>45931</c:v>
                </c:pt>
                <c:pt idx="49">
                  <c:v>45962</c:v>
                </c:pt>
                <c:pt idx="50">
                  <c:v>45992</c:v>
                </c:pt>
                <c:pt idx="51">
                  <c:v>46023</c:v>
                </c:pt>
                <c:pt idx="52">
                  <c:v>46054</c:v>
                </c:pt>
                <c:pt idx="53">
                  <c:v>46082</c:v>
                </c:pt>
                <c:pt idx="54">
                  <c:v>46113</c:v>
                </c:pt>
                <c:pt idx="55">
                  <c:v>46143</c:v>
                </c:pt>
                <c:pt idx="56">
                  <c:v>46174</c:v>
                </c:pt>
                <c:pt idx="57">
                  <c:v>46204</c:v>
                </c:pt>
                <c:pt idx="58">
                  <c:v>46235</c:v>
                </c:pt>
                <c:pt idx="59">
                  <c:v>46266</c:v>
                </c:pt>
                <c:pt idx="60">
                  <c:v>46296</c:v>
                </c:pt>
                <c:pt idx="61">
                  <c:v>46327</c:v>
                </c:pt>
                <c:pt idx="62">
                  <c:v>46357</c:v>
                </c:pt>
                <c:pt idx="63">
                  <c:v>46388</c:v>
                </c:pt>
                <c:pt idx="64">
                  <c:v>46419</c:v>
                </c:pt>
                <c:pt idx="65">
                  <c:v>46447</c:v>
                </c:pt>
                <c:pt idx="66">
                  <c:v>46478</c:v>
                </c:pt>
                <c:pt idx="67">
                  <c:v>46508</c:v>
                </c:pt>
                <c:pt idx="68">
                  <c:v>46539</c:v>
                </c:pt>
                <c:pt idx="69">
                  <c:v>46569</c:v>
                </c:pt>
                <c:pt idx="70">
                  <c:v>46600</c:v>
                </c:pt>
                <c:pt idx="71">
                  <c:v>46631</c:v>
                </c:pt>
                <c:pt idx="72">
                  <c:v>46661</c:v>
                </c:pt>
                <c:pt idx="73">
                  <c:v>46692</c:v>
                </c:pt>
                <c:pt idx="74">
                  <c:v>46722</c:v>
                </c:pt>
                <c:pt idx="75">
                  <c:v>46753</c:v>
                </c:pt>
                <c:pt idx="76">
                  <c:v>46784</c:v>
                </c:pt>
                <c:pt idx="77">
                  <c:v>46813</c:v>
                </c:pt>
                <c:pt idx="78">
                  <c:v>46844</c:v>
                </c:pt>
                <c:pt idx="79">
                  <c:v>46874</c:v>
                </c:pt>
                <c:pt idx="80">
                  <c:v>46905</c:v>
                </c:pt>
                <c:pt idx="81">
                  <c:v>46935</c:v>
                </c:pt>
                <c:pt idx="82">
                  <c:v>46966</c:v>
                </c:pt>
                <c:pt idx="83">
                  <c:v>46997</c:v>
                </c:pt>
                <c:pt idx="84">
                  <c:v>47027</c:v>
                </c:pt>
                <c:pt idx="85">
                  <c:v>47058</c:v>
                </c:pt>
                <c:pt idx="86">
                  <c:v>47088</c:v>
                </c:pt>
                <c:pt idx="87">
                  <c:v>47119</c:v>
                </c:pt>
                <c:pt idx="88">
                  <c:v>47150</c:v>
                </c:pt>
                <c:pt idx="89">
                  <c:v>47178</c:v>
                </c:pt>
                <c:pt idx="90">
                  <c:v>47209</c:v>
                </c:pt>
                <c:pt idx="91">
                  <c:v>47239</c:v>
                </c:pt>
                <c:pt idx="92">
                  <c:v>47270</c:v>
                </c:pt>
                <c:pt idx="93">
                  <c:v>47300</c:v>
                </c:pt>
                <c:pt idx="94">
                  <c:v>47331</c:v>
                </c:pt>
                <c:pt idx="95">
                  <c:v>47362</c:v>
                </c:pt>
                <c:pt idx="96">
                  <c:v>47392</c:v>
                </c:pt>
                <c:pt idx="97">
                  <c:v>47423</c:v>
                </c:pt>
                <c:pt idx="98">
                  <c:v>47453</c:v>
                </c:pt>
                <c:pt idx="99">
                  <c:v>47484</c:v>
                </c:pt>
                <c:pt idx="100">
                  <c:v>47515</c:v>
                </c:pt>
                <c:pt idx="101">
                  <c:v>47543</c:v>
                </c:pt>
                <c:pt idx="102">
                  <c:v>47574</c:v>
                </c:pt>
                <c:pt idx="103">
                  <c:v>47604</c:v>
                </c:pt>
                <c:pt idx="104">
                  <c:v>47635</c:v>
                </c:pt>
                <c:pt idx="105">
                  <c:v>47665</c:v>
                </c:pt>
                <c:pt idx="106">
                  <c:v>47696</c:v>
                </c:pt>
                <c:pt idx="107">
                  <c:v>47727</c:v>
                </c:pt>
                <c:pt idx="108">
                  <c:v>47757</c:v>
                </c:pt>
                <c:pt idx="109">
                  <c:v>47788</c:v>
                </c:pt>
                <c:pt idx="110">
                  <c:v>47818</c:v>
                </c:pt>
                <c:pt idx="111">
                  <c:v>47849</c:v>
                </c:pt>
                <c:pt idx="112">
                  <c:v>47880</c:v>
                </c:pt>
                <c:pt idx="113">
                  <c:v>47908</c:v>
                </c:pt>
                <c:pt idx="114">
                  <c:v>47939</c:v>
                </c:pt>
                <c:pt idx="115">
                  <c:v>47969</c:v>
                </c:pt>
                <c:pt idx="116">
                  <c:v>48000</c:v>
                </c:pt>
                <c:pt idx="117">
                  <c:v>48030</c:v>
                </c:pt>
                <c:pt idx="118">
                  <c:v>48061</c:v>
                </c:pt>
                <c:pt idx="119">
                  <c:v>48092</c:v>
                </c:pt>
                <c:pt idx="120">
                  <c:v>48122</c:v>
                </c:pt>
                <c:pt idx="121">
                  <c:v>48153</c:v>
                </c:pt>
                <c:pt idx="122">
                  <c:v>48183</c:v>
                </c:pt>
                <c:pt idx="123">
                  <c:v>48214</c:v>
                </c:pt>
                <c:pt idx="124">
                  <c:v>48245</c:v>
                </c:pt>
                <c:pt idx="125">
                  <c:v>48274</c:v>
                </c:pt>
                <c:pt idx="126">
                  <c:v>48305</c:v>
                </c:pt>
                <c:pt idx="127">
                  <c:v>48335</c:v>
                </c:pt>
                <c:pt idx="128">
                  <c:v>48366</c:v>
                </c:pt>
                <c:pt idx="129">
                  <c:v>48396</c:v>
                </c:pt>
                <c:pt idx="130">
                  <c:v>48427</c:v>
                </c:pt>
                <c:pt idx="131">
                  <c:v>48458</c:v>
                </c:pt>
                <c:pt idx="132">
                  <c:v>48488</c:v>
                </c:pt>
                <c:pt idx="133">
                  <c:v>48519</c:v>
                </c:pt>
                <c:pt idx="134">
                  <c:v>48549</c:v>
                </c:pt>
                <c:pt idx="135">
                  <c:v>48580</c:v>
                </c:pt>
                <c:pt idx="136">
                  <c:v>48611</c:v>
                </c:pt>
                <c:pt idx="137">
                  <c:v>48639</c:v>
                </c:pt>
                <c:pt idx="138">
                  <c:v>48670</c:v>
                </c:pt>
                <c:pt idx="139">
                  <c:v>48700</c:v>
                </c:pt>
                <c:pt idx="140">
                  <c:v>48731</c:v>
                </c:pt>
                <c:pt idx="141">
                  <c:v>48761</c:v>
                </c:pt>
                <c:pt idx="142">
                  <c:v>48792</c:v>
                </c:pt>
                <c:pt idx="143">
                  <c:v>48823</c:v>
                </c:pt>
                <c:pt idx="144">
                  <c:v>48853</c:v>
                </c:pt>
                <c:pt idx="145">
                  <c:v>48884</c:v>
                </c:pt>
                <c:pt idx="146">
                  <c:v>48914</c:v>
                </c:pt>
                <c:pt idx="147">
                  <c:v>48945</c:v>
                </c:pt>
                <c:pt idx="148">
                  <c:v>48976</c:v>
                </c:pt>
                <c:pt idx="149">
                  <c:v>49004</c:v>
                </c:pt>
                <c:pt idx="150">
                  <c:v>49035</c:v>
                </c:pt>
                <c:pt idx="151">
                  <c:v>49065</c:v>
                </c:pt>
                <c:pt idx="152">
                  <c:v>49096</c:v>
                </c:pt>
                <c:pt idx="153">
                  <c:v>49126</c:v>
                </c:pt>
                <c:pt idx="154">
                  <c:v>49157</c:v>
                </c:pt>
                <c:pt idx="155">
                  <c:v>49188</c:v>
                </c:pt>
                <c:pt idx="156">
                  <c:v>49218</c:v>
                </c:pt>
                <c:pt idx="157">
                  <c:v>49249</c:v>
                </c:pt>
                <c:pt idx="158">
                  <c:v>49279</c:v>
                </c:pt>
                <c:pt idx="159">
                  <c:v>49310</c:v>
                </c:pt>
                <c:pt idx="160">
                  <c:v>49341</c:v>
                </c:pt>
                <c:pt idx="161">
                  <c:v>49369</c:v>
                </c:pt>
                <c:pt idx="162">
                  <c:v>49400</c:v>
                </c:pt>
                <c:pt idx="163">
                  <c:v>49430</c:v>
                </c:pt>
                <c:pt idx="164">
                  <c:v>49461</c:v>
                </c:pt>
                <c:pt idx="165">
                  <c:v>49491</c:v>
                </c:pt>
                <c:pt idx="166">
                  <c:v>49522</c:v>
                </c:pt>
                <c:pt idx="167">
                  <c:v>49553</c:v>
                </c:pt>
                <c:pt idx="168">
                  <c:v>49583</c:v>
                </c:pt>
                <c:pt idx="169">
                  <c:v>49614</c:v>
                </c:pt>
                <c:pt idx="170">
                  <c:v>49644</c:v>
                </c:pt>
                <c:pt idx="171">
                  <c:v>49675</c:v>
                </c:pt>
                <c:pt idx="172">
                  <c:v>49706</c:v>
                </c:pt>
                <c:pt idx="173">
                  <c:v>49735</c:v>
                </c:pt>
                <c:pt idx="174">
                  <c:v>49766</c:v>
                </c:pt>
                <c:pt idx="175">
                  <c:v>49796</c:v>
                </c:pt>
                <c:pt idx="176">
                  <c:v>49827</c:v>
                </c:pt>
                <c:pt idx="177">
                  <c:v>49857</c:v>
                </c:pt>
                <c:pt idx="178">
                  <c:v>49888</c:v>
                </c:pt>
                <c:pt idx="179">
                  <c:v>49919</c:v>
                </c:pt>
                <c:pt idx="180">
                  <c:v>49949</c:v>
                </c:pt>
                <c:pt idx="181">
                  <c:v>49980</c:v>
                </c:pt>
                <c:pt idx="182">
                  <c:v>50010</c:v>
                </c:pt>
                <c:pt idx="183">
                  <c:v>50041</c:v>
                </c:pt>
                <c:pt idx="184">
                  <c:v>50072</c:v>
                </c:pt>
                <c:pt idx="185">
                  <c:v>50100</c:v>
                </c:pt>
                <c:pt idx="186">
                  <c:v>50131</c:v>
                </c:pt>
                <c:pt idx="187">
                  <c:v>50161</c:v>
                </c:pt>
                <c:pt idx="188">
                  <c:v>50192</c:v>
                </c:pt>
                <c:pt idx="189">
                  <c:v>50222</c:v>
                </c:pt>
                <c:pt idx="190">
                  <c:v>50253</c:v>
                </c:pt>
                <c:pt idx="191">
                  <c:v>50284</c:v>
                </c:pt>
                <c:pt idx="192">
                  <c:v>50314</c:v>
                </c:pt>
                <c:pt idx="193">
                  <c:v>50345</c:v>
                </c:pt>
                <c:pt idx="194">
                  <c:v>50375</c:v>
                </c:pt>
                <c:pt idx="195">
                  <c:v>50406</c:v>
                </c:pt>
                <c:pt idx="196">
                  <c:v>50437</c:v>
                </c:pt>
                <c:pt idx="197">
                  <c:v>50465</c:v>
                </c:pt>
                <c:pt idx="198">
                  <c:v>50496</c:v>
                </c:pt>
                <c:pt idx="199">
                  <c:v>50526</c:v>
                </c:pt>
                <c:pt idx="200">
                  <c:v>50557</c:v>
                </c:pt>
                <c:pt idx="201">
                  <c:v>50587</c:v>
                </c:pt>
                <c:pt idx="202">
                  <c:v>50618</c:v>
                </c:pt>
                <c:pt idx="203">
                  <c:v>50649</c:v>
                </c:pt>
                <c:pt idx="204">
                  <c:v>50679</c:v>
                </c:pt>
                <c:pt idx="205">
                  <c:v>50710</c:v>
                </c:pt>
                <c:pt idx="206">
                  <c:v>50740</c:v>
                </c:pt>
                <c:pt idx="207">
                  <c:v>50771</c:v>
                </c:pt>
                <c:pt idx="208">
                  <c:v>50802</c:v>
                </c:pt>
                <c:pt idx="209">
                  <c:v>50830</c:v>
                </c:pt>
                <c:pt idx="210">
                  <c:v>50861</c:v>
                </c:pt>
                <c:pt idx="211">
                  <c:v>50891</c:v>
                </c:pt>
                <c:pt idx="212">
                  <c:v>50922</c:v>
                </c:pt>
                <c:pt idx="213">
                  <c:v>50952</c:v>
                </c:pt>
                <c:pt idx="214">
                  <c:v>50983</c:v>
                </c:pt>
                <c:pt idx="215">
                  <c:v>51014</c:v>
                </c:pt>
                <c:pt idx="216">
                  <c:v>51044</c:v>
                </c:pt>
                <c:pt idx="217">
                  <c:v>51075</c:v>
                </c:pt>
                <c:pt idx="218">
                  <c:v>51105</c:v>
                </c:pt>
                <c:pt idx="219">
                  <c:v>51136</c:v>
                </c:pt>
                <c:pt idx="220">
                  <c:v>51167</c:v>
                </c:pt>
                <c:pt idx="221">
                  <c:v>51196</c:v>
                </c:pt>
                <c:pt idx="222">
                  <c:v>51227</c:v>
                </c:pt>
                <c:pt idx="223">
                  <c:v>51257</c:v>
                </c:pt>
                <c:pt idx="224">
                  <c:v>51288</c:v>
                </c:pt>
                <c:pt idx="225">
                  <c:v>51318</c:v>
                </c:pt>
                <c:pt idx="226">
                  <c:v>51349</c:v>
                </c:pt>
                <c:pt idx="227">
                  <c:v>51380</c:v>
                </c:pt>
                <c:pt idx="228">
                  <c:v>51410</c:v>
                </c:pt>
                <c:pt idx="229">
                  <c:v>51441</c:v>
                </c:pt>
                <c:pt idx="230">
                  <c:v>51471</c:v>
                </c:pt>
                <c:pt idx="231">
                  <c:v>51502</c:v>
                </c:pt>
                <c:pt idx="232">
                  <c:v>51533</c:v>
                </c:pt>
                <c:pt idx="233">
                  <c:v>51561</c:v>
                </c:pt>
                <c:pt idx="234">
                  <c:v>51592</c:v>
                </c:pt>
                <c:pt idx="235">
                  <c:v>51622</c:v>
                </c:pt>
                <c:pt idx="236">
                  <c:v>51653</c:v>
                </c:pt>
                <c:pt idx="237">
                  <c:v>51683</c:v>
                </c:pt>
                <c:pt idx="238">
                  <c:v>51714</c:v>
                </c:pt>
                <c:pt idx="239">
                  <c:v>51745</c:v>
                </c:pt>
                <c:pt idx="240">
                  <c:v>51775</c:v>
                </c:pt>
                <c:pt idx="241">
                  <c:v>51806</c:v>
                </c:pt>
                <c:pt idx="242">
                  <c:v>51836</c:v>
                </c:pt>
                <c:pt idx="243">
                  <c:v>51867</c:v>
                </c:pt>
                <c:pt idx="244">
                  <c:v>51898</c:v>
                </c:pt>
                <c:pt idx="245">
                  <c:v>51926</c:v>
                </c:pt>
                <c:pt idx="246">
                  <c:v>51957</c:v>
                </c:pt>
                <c:pt idx="247">
                  <c:v>51987</c:v>
                </c:pt>
                <c:pt idx="248">
                  <c:v>52018</c:v>
                </c:pt>
                <c:pt idx="249">
                  <c:v>52048</c:v>
                </c:pt>
                <c:pt idx="250">
                  <c:v>52079</c:v>
                </c:pt>
                <c:pt idx="251">
                  <c:v>52110</c:v>
                </c:pt>
                <c:pt idx="252">
                  <c:v>52140</c:v>
                </c:pt>
                <c:pt idx="253">
                  <c:v>52171</c:v>
                </c:pt>
                <c:pt idx="254">
                  <c:v>52201</c:v>
                </c:pt>
                <c:pt idx="255">
                  <c:v>52232</c:v>
                </c:pt>
                <c:pt idx="256">
                  <c:v>52263</c:v>
                </c:pt>
                <c:pt idx="257">
                  <c:v>52291</c:v>
                </c:pt>
                <c:pt idx="258">
                  <c:v>52322</c:v>
                </c:pt>
                <c:pt idx="259">
                  <c:v>52352</c:v>
                </c:pt>
                <c:pt idx="260">
                  <c:v>52383</c:v>
                </c:pt>
                <c:pt idx="261">
                  <c:v>52413</c:v>
                </c:pt>
                <c:pt idx="262">
                  <c:v>52444</c:v>
                </c:pt>
                <c:pt idx="263">
                  <c:v>52475</c:v>
                </c:pt>
              </c:numCache>
            </c:numRef>
          </c:cat>
          <c:val>
            <c:numRef>
              <c:f>Monatsdaten!$CH$38:$CH$301</c:f>
              <c:numCache>
                <c:formatCode>#,##0.00\ "€"</c:formatCode>
                <c:ptCount val="26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82-4D4B-BBD9-D6DA2EA94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317504"/>
        <c:axId val="299327488"/>
      </c:lineChart>
      <c:dateAx>
        <c:axId val="299317504"/>
        <c:scaling>
          <c:orientation val="minMax"/>
        </c:scaling>
        <c:delete val="1"/>
        <c:axPos val="b"/>
        <c:numFmt formatCode="[$-407]mmmm\ yy;@" sourceLinked="1"/>
        <c:majorTickMark val="none"/>
        <c:minorTickMark val="none"/>
        <c:tickLblPos val="nextTo"/>
        <c:crossAx val="299327488"/>
        <c:crosses val="autoZero"/>
        <c:auto val="1"/>
        <c:lblOffset val="100"/>
        <c:baseTimeUnit val="months"/>
      </c:dateAx>
      <c:valAx>
        <c:axId val="29932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9317504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260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C0DFFF4-CEA5-6D4A-BB02-1FA8111C6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A1BEC7E-6364-3F40-8A36-3858AE142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091BA10-ACAF-BE47-90CF-FC07CBDBC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6E5AC2D-57C8-8D40-B850-43E9940FF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A8C14D5-06FB-7A4F-BBFA-0D60D8E36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A9E82CE-E16E-A84D-85CB-D47A38F67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95FCB4F-7FED-1D4C-8FB0-B12BDFD7E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0F78841-6442-E247-B4AB-8799669F3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12700</xdr:colOff>
      <xdr:row>28</xdr:row>
      <xdr:rowOff>76200</xdr:rowOff>
    </xdr:from>
    <xdr:to>
      <xdr:col>14</xdr:col>
      <xdr:colOff>101600</xdr:colOff>
      <xdr:row>28</xdr:row>
      <xdr:rowOff>76200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990E43B5-9CD2-4344-854B-D8DEB8985A4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CxnSpPr/>
      </xdr:nvCxnSpPr>
      <xdr:spPr>
        <a:xfrm>
          <a:off x="10744200" y="4699000"/>
          <a:ext cx="914400" cy="0"/>
        </a:xfrm>
        <a:prstGeom prst="straightConnector1">
          <a:avLst/>
        </a:prstGeom>
        <a:ln w="508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533400</xdr:colOff>
      <xdr:row>28</xdr:row>
      <xdr:rowOff>101600</xdr:rowOff>
    </xdr:from>
    <xdr:ext cx="1617430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78DBCE34-8AA0-004E-9788-BE31E38EAA98}"/>
            </a:ext>
          </a:extLst>
        </xdr:cNvPr>
        <xdr:cNvSpPr txBox="1"/>
      </xdr:nvSpPr>
      <xdr:spPr>
        <a:xfrm>
          <a:off x="10439400" y="4724400"/>
          <a:ext cx="16174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- Grauwasser über Strom</a:t>
          </a:r>
        </a:p>
      </xdr:txBody>
    </xdr:sp>
    <xdr:clientData/>
  </xdr:oneCellAnchor>
  <xdr:twoCellAnchor>
    <xdr:from>
      <xdr:col>14</xdr:col>
      <xdr:colOff>787400</xdr:colOff>
      <xdr:row>28</xdr:row>
      <xdr:rowOff>63500</xdr:rowOff>
    </xdr:from>
    <xdr:to>
      <xdr:col>16</xdr:col>
      <xdr:colOff>50800</xdr:colOff>
      <xdr:row>28</xdr:row>
      <xdr:rowOff>63500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997015B7-13A1-2749-B178-4DCA04711EB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CxnSpPr/>
      </xdr:nvCxnSpPr>
      <xdr:spPr>
        <a:xfrm>
          <a:off x="12344400" y="4686300"/>
          <a:ext cx="914400" cy="0"/>
        </a:xfrm>
        <a:prstGeom prst="straightConnector1">
          <a:avLst/>
        </a:prstGeom>
        <a:ln w="508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571500</xdr:colOff>
      <xdr:row>28</xdr:row>
      <xdr:rowOff>76200</xdr:rowOff>
    </xdr:from>
    <xdr:ext cx="132222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B1217835-E1C2-AF42-AD85-EE94B208F800}"/>
            </a:ext>
          </a:extLst>
        </xdr:cNvPr>
        <xdr:cNvSpPr txBox="1"/>
      </xdr:nvSpPr>
      <xdr:spPr>
        <a:xfrm>
          <a:off x="12128500" y="4699000"/>
          <a:ext cx="1322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- Heizstab installiert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63500</xdr:rowOff>
    </xdr:from>
    <xdr:to>
      <xdr:col>21</xdr:col>
      <xdr:colOff>0</xdr:colOff>
      <xdr:row>44</xdr:row>
      <xdr:rowOff>63500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152400</xdr:colOff>
      <xdr:row>25</xdr:row>
      <xdr:rowOff>25400</xdr:rowOff>
    </xdr:from>
    <xdr:to>
      <xdr:col>14</xdr:col>
      <xdr:colOff>241300</xdr:colOff>
      <xdr:row>25</xdr:row>
      <xdr:rowOff>25400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992B80E1-4ECA-7845-B8E1-313E0735EFF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CxnSpPr/>
      </xdr:nvCxnSpPr>
      <xdr:spPr>
        <a:xfrm>
          <a:off x="10883900" y="4152900"/>
          <a:ext cx="914400" cy="0"/>
        </a:xfrm>
        <a:prstGeom prst="straightConnector1">
          <a:avLst/>
        </a:prstGeom>
        <a:ln w="508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457200</xdr:colOff>
      <xdr:row>25</xdr:row>
      <xdr:rowOff>38100</xdr:rowOff>
    </xdr:from>
    <xdr:ext cx="2013821" cy="60901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7C8E3B05-4540-CA4C-9E08-2C2C18E03193}"/>
            </a:ext>
          </a:extLst>
        </xdr:cNvPr>
        <xdr:cNvSpPr txBox="1"/>
      </xdr:nvSpPr>
      <xdr:spPr>
        <a:xfrm>
          <a:off x="10363200" y="4165600"/>
          <a:ext cx="201382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- Grauwasser über Strom</a:t>
          </a:r>
        </a:p>
        <a:p>
          <a:r>
            <a:rPr lang="de-DE" sz="1100"/>
            <a:t>- teuerer Wärmestrom</a:t>
          </a:r>
        </a:p>
        <a:p>
          <a:r>
            <a:rPr lang="de-DE" sz="1100"/>
            <a:t>   18,89 ct/kWh -&gt; 26,75 ct/kWh</a:t>
          </a:r>
        </a:p>
      </xdr:txBody>
    </xdr:sp>
    <xdr:clientData/>
  </xdr:oneCellAnchor>
  <xdr:twoCellAnchor>
    <xdr:from>
      <xdr:col>15</xdr:col>
      <xdr:colOff>25400</xdr:colOff>
      <xdr:row>29</xdr:row>
      <xdr:rowOff>127000</xdr:rowOff>
    </xdr:from>
    <xdr:to>
      <xdr:col>16</xdr:col>
      <xdr:colOff>114300</xdr:colOff>
      <xdr:row>29</xdr:row>
      <xdr:rowOff>127000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9FBDC587-369F-E641-8812-0E1D026DBD4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CxnSpPr/>
      </xdr:nvCxnSpPr>
      <xdr:spPr>
        <a:xfrm>
          <a:off x="12407900" y="4914900"/>
          <a:ext cx="914400" cy="0"/>
        </a:xfrm>
        <a:prstGeom prst="straightConnector1">
          <a:avLst/>
        </a:prstGeom>
        <a:ln w="508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635000</xdr:colOff>
      <xdr:row>29</xdr:row>
      <xdr:rowOff>139700</xdr:rowOff>
    </xdr:from>
    <xdr:ext cx="1322221" cy="609013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2ECB985D-35B2-6349-B66D-4E2BD503D291}"/>
            </a:ext>
          </a:extLst>
        </xdr:cNvPr>
        <xdr:cNvSpPr txBox="1"/>
      </xdr:nvSpPr>
      <xdr:spPr>
        <a:xfrm>
          <a:off x="12192000" y="4927600"/>
          <a:ext cx="132222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- Heizstab installiert</a:t>
          </a:r>
        </a:p>
        <a:p>
          <a:r>
            <a:rPr lang="de-DE" sz="1100"/>
            <a:t>- teuerer Holzpreis</a:t>
          </a:r>
        </a:p>
        <a:p>
          <a:r>
            <a:rPr lang="de-DE" sz="1100"/>
            <a:t>   € 90,- -&gt; ca. €</a:t>
          </a:r>
          <a:r>
            <a:rPr lang="de-DE" sz="1100" baseline="0"/>
            <a:t> 98,-</a:t>
          </a:r>
          <a:endParaRPr lang="de-DE" sz="1100"/>
        </a:p>
      </xdr:txBody>
    </xdr:sp>
    <xdr:clientData/>
  </xdr:oneCellAnchor>
  <xdr:twoCellAnchor>
    <xdr:from>
      <xdr:col>5</xdr:col>
      <xdr:colOff>723900</xdr:colOff>
      <xdr:row>28</xdr:row>
      <xdr:rowOff>139700</xdr:rowOff>
    </xdr:from>
    <xdr:to>
      <xdr:col>6</xdr:col>
      <xdr:colOff>812800</xdr:colOff>
      <xdr:row>28</xdr:row>
      <xdr:rowOff>139700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CBCBA17-78A1-DC48-8260-6775CDEB772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CxnSpPr/>
      </xdr:nvCxnSpPr>
      <xdr:spPr>
        <a:xfrm>
          <a:off x="4851400" y="4762500"/>
          <a:ext cx="914400" cy="0"/>
        </a:xfrm>
        <a:prstGeom prst="straightConnector1">
          <a:avLst/>
        </a:prstGeom>
        <a:ln w="508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215900</xdr:colOff>
      <xdr:row>28</xdr:row>
      <xdr:rowOff>152400</xdr:rowOff>
    </xdr:from>
    <xdr:ext cx="2008948" cy="436786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95199AB6-BB11-1F4C-9763-F0EABEA964ED}"/>
            </a:ext>
          </a:extLst>
        </xdr:cNvPr>
        <xdr:cNvSpPr txBox="1"/>
      </xdr:nvSpPr>
      <xdr:spPr>
        <a:xfrm>
          <a:off x="4343400" y="4775200"/>
          <a:ext cx="200894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- günstigerer Wärmestrom</a:t>
          </a:r>
        </a:p>
        <a:p>
          <a:r>
            <a:rPr lang="de-DE" sz="1100"/>
            <a:t>   ca. 21,- ct/kWh -&gt; 20,- ct/kWh</a:t>
          </a:r>
        </a:p>
      </xdr:txBody>
    </xdr:sp>
    <xdr:clientData/>
  </xdr:one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0.36725</cdr:x>
      <cdr:y>0.54021</cdr:y>
    </cdr:from>
    <cdr:to>
      <cdr:x>0.41905</cdr:x>
      <cdr:y>0.54161</cdr:y>
    </cdr:to>
    <cdr:cxnSp macro="">
      <cdr:nvCxnSpPr>
        <cdr:cNvPr id="4" name="Gerade Verbindung mit Pfeil 3">
          <a:extLst xmlns:a="http://schemas.openxmlformats.org/drawingml/2006/main">
            <a:ext uri="{FF2B5EF4-FFF2-40B4-BE49-F238E27FC236}">
              <a16:creationId xmlns:a16="http://schemas.microsoft.com/office/drawing/2014/main" id="{0CBCBA17-78A1-DC48-8260-6775CDEB772B}"/>
            </a:ext>
            <a:ext uri="{C183D7F6-B498-43B3-948B-1728B52AA6E4}">
              <adec:decorative xmlns:adec="http://schemas.microsoft.com/office/drawing/2017/decorative" val="0"/>
            </a:ext>
          </a:extLst>
        </cdr:cNvPr>
        <cdr:cNvCxnSpPr/>
      </cdr:nvCxnSpPr>
      <cdr:spPr>
        <a:xfrm xmlns:a="http://schemas.openxmlformats.org/drawingml/2006/main" flipV="1">
          <a:off x="6366378" y="3924300"/>
          <a:ext cx="898022" cy="10174"/>
        </a:xfrm>
        <a:prstGeom xmlns:a="http://schemas.openxmlformats.org/drawingml/2006/main" prst="straightConnector1">
          <a:avLst/>
        </a:prstGeom>
        <a:ln xmlns:a="http://schemas.openxmlformats.org/drawingml/2006/main" w="50800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0.34755</cdr:x>
      <cdr:y>0.5423</cdr:y>
    </cdr:from>
    <cdr:to>
      <cdr:x>0.45823</cdr:x>
      <cdr:y>0.59134</cdr:y>
    </cdr:to>
    <cdr:sp macro="" textlink="">
      <cdr:nvSpPr>
        <cdr:cNvPr id="5" name="Textfeld 14">
          <a:extLst xmlns:a="http://schemas.openxmlformats.org/drawingml/2006/main">
            <a:ext uri="{FF2B5EF4-FFF2-40B4-BE49-F238E27FC236}">
              <a16:creationId xmlns:a16="http://schemas.microsoft.com/office/drawing/2014/main" id="{95199AB6-BB11-1F4C-9763-F0EABEA964ED}"/>
            </a:ext>
          </a:extLst>
        </cdr:cNvPr>
        <cdr:cNvSpPr txBox="1"/>
      </cdr:nvSpPr>
      <cdr:spPr>
        <a:xfrm xmlns:a="http://schemas.openxmlformats.org/drawingml/2006/main">
          <a:off x="6024962" y="3939512"/>
          <a:ext cx="1918693" cy="35624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100"/>
            <a:t>- günstigerer Wärmestrom</a:t>
          </a:r>
        </a:p>
        <a:p xmlns:a="http://schemas.openxmlformats.org/drawingml/2006/main">
          <a:r>
            <a:rPr lang="de-DE" sz="1100"/>
            <a:t>   ca. 20,- ct/kWh -&gt; 18,89 ct/kWh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260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F8E426B-82C0-435A-AB0C-825105351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03BB442-74C6-E54B-8DC0-08F1E3BC7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46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7E2B6CE-5046-5B49-8971-914E6C041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45</xdr:col>
      <xdr:colOff>787400</xdr:colOff>
      <xdr:row>43</xdr:row>
      <xdr:rowOff>165099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5DD152F-F768-BB44-9D2D-B6368F1C5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A121DCF-50EA-DA42-B544-76AF661DB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19591C4-7981-074C-B0E7-E69A2EDEA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46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0109D25-343B-964F-9724-5FC7C20BF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260</xdr:col>
      <xdr:colOff>0</xdr:colOff>
      <xdr:row>44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39810DC-EDEC-4C4F-8BFB-6EF7369F0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"/>
  <sheetViews>
    <sheetView tabSelected="1" topLeftCell="G1" zoomScaleNormal="100" workbookViewId="0">
      <selection activeCell="A56" sqref="A56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"/>
  <sheetViews>
    <sheetView zoomScaleNormal="100" workbookViewId="0">
      <selection activeCell="C45" sqref="C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"/>
  <sheetViews>
    <sheetView workbookViewId="0">
      <selection activeCell="C45" sqref="C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"/>
  <sheetViews>
    <sheetView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"/>
  <sheetViews>
    <sheetView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"/>
  <sheetViews>
    <sheetView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"/>
  <sheetViews>
    <sheetView workbookViewId="0">
      <selection activeCell="C45" sqref="C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"/>
  <sheetViews>
    <sheetView workbookViewId="0">
      <selection activeCell="AA1" sqref="AA1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20EF-89CB-494A-AE84-7186D08C5AC9}">
  <sheetPr>
    <tabColor rgb="FF00B050"/>
  </sheetPr>
  <dimension ref="A1"/>
  <sheetViews>
    <sheetView workbookViewId="0">
      <selection activeCell="X16" sqref="X16"/>
    </sheetView>
  </sheetViews>
  <sheetFormatPr baseColWidth="10" defaultRowHeight="13" x14ac:dyDescent="0.15"/>
  <sheetData/>
  <sheetProtection sheet="1" scenarios="1" selectLockedCells="1" selectUnlockedCells="1"/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"/>
  <sheetViews>
    <sheetView workbookViewId="0">
      <selection activeCell="Z1" sqref="Z1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DT302"/>
  <sheetViews>
    <sheetView zoomScale="80" zoomScaleNormal="8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E2" sqref="E2"/>
    </sheetView>
  </sheetViews>
  <sheetFormatPr baseColWidth="10" defaultColWidth="9.1640625" defaultRowHeight="14" x14ac:dyDescent="0.15"/>
  <cols>
    <col min="1" max="1" width="4.6640625" style="227" customWidth="1"/>
    <col min="2" max="2" width="13.33203125" style="17" bestFit="1" customWidth="1"/>
    <col min="3" max="3" width="9.5" style="209" customWidth="1"/>
    <col min="4" max="4" width="13.33203125" style="60" bestFit="1" customWidth="1"/>
    <col min="5" max="5" width="10.5" style="59" customWidth="1"/>
    <col min="6" max="6" width="11.5" style="64" bestFit="1" customWidth="1"/>
    <col min="7" max="7" width="10.83203125" style="56" customWidth="1"/>
    <col min="8" max="8" width="14.33203125" style="64" bestFit="1" customWidth="1"/>
    <col min="9" max="9" width="9" style="56" customWidth="1"/>
    <col min="10" max="10" width="12.5" style="64" customWidth="1"/>
    <col min="11" max="11" width="9.5" style="56" customWidth="1"/>
    <col min="12" max="12" width="11.5" style="64" bestFit="1" customWidth="1"/>
    <col min="13" max="13" width="14.33203125" style="65" bestFit="1" customWidth="1"/>
    <col min="14" max="14" width="13.6640625" style="68" bestFit="1" customWidth="1"/>
    <col min="15" max="16" width="13.6640625" style="282" customWidth="1"/>
    <col min="17" max="17" width="13.6640625" style="286" customWidth="1"/>
    <col min="18" max="18" width="13.6640625" style="281" customWidth="1"/>
    <col min="19" max="19" width="13.6640625" style="69" bestFit="1" customWidth="1"/>
    <col min="20" max="20" width="13.6640625" style="70" bestFit="1" customWidth="1"/>
    <col min="21" max="21" width="14.83203125" style="71" bestFit="1" customWidth="1"/>
    <col min="22" max="22" width="14.83203125" style="72" customWidth="1"/>
    <col min="23" max="23" width="14.83203125" style="71" bestFit="1" customWidth="1"/>
    <col min="24" max="24" width="14.83203125" style="72" customWidth="1"/>
    <col min="25" max="25" width="9.5" style="211" customWidth="1"/>
    <col min="26" max="26" width="12.33203125" style="212" customWidth="1"/>
    <col min="27" max="27" width="9.5" style="56" customWidth="1"/>
    <col min="28" max="28" width="12.33203125" style="64" customWidth="1"/>
    <col min="29" max="29" width="9.5" style="59" customWidth="1"/>
    <col min="30" max="30" width="12.1640625" style="60" customWidth="1"/>
    <col min="31" max="31" width="9.1640625" style="76" customWidth="1"/>
    <col min="32" max="32" width="13.6640625" style="77" customWidth="1"/>
    <col min="33" max="33" width="9.83203125" style="76" bestFit="1" customWidth="1"/>
    <col min="34" max="34" width="13.5" style="77" customWidth="1"/>
    <col min="35" max="35" width="6.1640625" style="224" bestFit="1" customWidth="1"/>
    <col min="36" max="36" width="17.5" style="76" customWidth="1"/>
    <col min="37" max="37" width="14.5" style="85" customWidth="1"/>
    <col min="38" max="38" width="12.33203125" style="86" bestFit="1" customWidth="1"/>
    <col min="39" max="39" width="14.6640625" style="87" customWidth="1"/>
    <col min="40" max="40" width="14.6640625" style="86" customWidth="1"/>
    <col min="41" max="41" width="14.83203125" style="59" customWidth="1"/>
    <col min="42" max="42" width="14.83203125" style="60" bestFit="1" customWidth="1"/>
    <col min="43" max="44" width="14.83203125" style="60" customWidth="1"/>
    <col min="45" max="45" width="14.83203125" style="86" customWidth="1"/>
    <col min="46" max="46" width="10.33203125" style="93" customWidth="1"/>
    <col min="47" max="47" width="12.83203125" style="87" bestFit="1" customWidth="1"/>
    <col min="48" max="48" width="13.83203125" style="86" bestFit="1" customWidth="1"/>
    <col min="49" max="49" width="15.1640625" style="59" bestFit="1" customWidth="1"/>
    <col min="50" max="50" width="15.1640625" style="77" bestFit="1" customWidth="1"/>
    <col min="51" max="51" width="15.1640625" style="87" bestFit="1" customWidth="1"/>
    <col min="52" max="52" width="15.1640625" style="86" bestFit="1" customWidth="1"/>
    <col min="53" max="53" width="15.33203125" style="93" customWidth="1"/>
    <col min="54" max="54" width="15.1640625" style="6" bestFit="1" customWidth="1"/>
    <col min="55" max="55" width="14.5" style="93" bestFit="1" customWidth="1"/>
    <col min="56" max="56" width="11.5" style="6" customWidth="1"/>
    <col min="57" max="57" width="11.5" style="6" bestFit="1" customWidth="1"/>
    <col min="58" max="58" width="18.5" style="93" bestFit="1" customWidth="1"/>
    <col min="59" max="60" width="12" style="93" customWidth="1"/>
    <col min="61" max="61" width="13.33203125" style="15" customWidth="1"/>
    <col min="62" max="62" width="13.33203125" style="107" customWidth="1"/>
    <col min="63" max="63" width="9.33203125" style="15" bestFit="1" customWidth="1"/>
    <col min="64" max="64" width="14.6640625" style="15" customWidth="1"/>
    <col min="65" max="65" width="13.1640625" style="107" customWidth="1"/>
    <col min="66" max="66" width="13.1640625" style="225" customWidth="1"/>
    <col min="67" max="67" width="13.33203125" style="15" customWidth="1"/>
    <col min="68" max="69" width="13.1640625" style="107" customWidth="1"/>
    <col min="70" max="70" width="17.6640625" style="15" bestFit="1" customWidth="1"/>
    <col min="71" max="71" width="17.5" style="313" customWidth="1"/>
    <col min="72" max="72" width="17.5" style="309" customWidth="1"/>
    <col min="73" max="73" width="10.83203125" style="297" customWidth="1"/>
    <col min="74" max="74" width="14.33203125" style="285" customWidth="1"/>
    <col min="75" max="75" width="13.33203125" style="301" customWidth="1"/>
    <col min="76" max="76" width="10.83203125" style="297" customWidth="1"/>
    <col min="77" max="77" width="14.33203125" style="306" customWidth="1"/>
    <col min="78" max="78" width="15" style="301" customWidth="1"/>
    <col min="79" max="79" width="10.83203125" style="297" customWidth="1"/>
    <col min="80" max="80" width="14.33203125" style="285" customWidth="1"/>
    <col min="81" max="81" width="10.83203125" style="316" customWidth="1"/>
    <col min="82" max="82" width="14.33203125" style="294" customWidth="1"/>
    <col min="83" max="83" width="13.33203125" style="301" customWidth="1"/>
    <col min="84" max="84" width="10.83203125" style="293" customWidth="1"/>
    <col min="85" max="85" width="14.33203125" style="293" customWidth="1"/>
    <col min="86" max="86" width="15" style="302" customWidth="1"/>
    <col min="87" max="87" width="17.6640625" style="111" bestFit="1" customWidth="1"/>
    <col min="88" max="88" width="14.83203125" style="202" bestFit="1" customWidth="1"/>
    <col min="89" max="89" width="16.5" style="198" customWidth="1"/>
    <col min="90" max="90" width="16.5" style="205" customWidth="1"/>
    <col min="91" max="91" width="14.83203125" style="11" bestFit="1" customWidth="1"/>
    <col min="92" max="92" width="14.83203125" style="115" bestFit="1" customWidth="1"/>
    <col min="93" max="93" width="15.83203125" style="13" bestFit="1" customWidth="1"/>
    <col min="94" max="94" width="14.83203125" style="115" bestFit="1" customWidth="1"/>
    <col min="95" max="95" width="14.83203125" style="11" bestFit="1" customWidth="1"/>
    <col min="96" max="96" width="14.83203125" style="119" bestFit="1" customWidth="1"/>
    <col min="97" max="97" width="11.5" style="13" bestFit="1" customWidth="1"/>
    <col min="98" max="98" width="5.33203125" style="139" bestFit="1" customWidth="1"/>
    <col min="99" max="99" width="11" style="142" customWidth="1"/>
    <col min="100" max="100" width="17.1640625" style="112" bestFit="1" customWidth="1"/>
    <col min="101" max="101" width="17.1640625" style="12" bestFit="1" customWidth="1"/>
    <col min="102" max="103" width="18.1640625" style="12" customWidth="1"/>
    <col min="104" max="104" width="18.33203125" style="197" customWidth="1"/>
    <col min="105" max="105" width="18.5" style="203" customWidth="1"/>
    <col min="106" max="106" width="13.5" style="87" bestFit="1" customWidth="1"/>
    <col min="107" max="107" width="13.5" style="86" bestFit="1" customWidth="1"/>
    <col min="108" max="108" width="13.5" style="87" bestFit="1" customWidth="1"/>
    <col min="109" max="109" width="13.5" style="86" customWidth="1"/>
    <col min="110" max="110" width="9.83203125" style="59" bestFit="1" customWidth="1"/>
    <col min="111" max="111" width="15.83203125" style="60" bestFit="1" customWidth="1"/>
    <col min="112" max="112" width="15" style="7" bestFit="1" customWidth="1"/>
    <col min="113" max="113" width="16.33203125" style="126" bestFit="1" customWidth="1"/>
    <col min="114" max="114" width="17.6640625" style="9" bestFit="1" customWidth="1"/>
    <col min="115" max="115" width="17.6640625" style="192" bestFit="1" customWidth="1"/>
    <col min="116" max="116" width="17.6640625" style="9" bestFit="1" customWidth="1"/>
    <col min="117" max="117" width="17.6640625" style="191" bestFit="1" customWidth="1"/>
    <col min="118" max="118" width="17.6640625" style="193" bestFit="1" customWidth="1"/>
    <col min="119" max="119" width="17.6640625" style="191" bestFit="1" customWidth="1"/>
    <col min="120" max="120" width="17.6640625" style="194" bestFit="1" customWidth="1"/>
    <col min="121" max="122" width="17.6640625" style="195" bestFit="1" customWidth="1"/>
    <col min="123" max="123" width="16.5" bestFit="1" customWidth="1"/>
  </cols>
  <sheetData>
    <row r="1" spans="1:124" s="266" customFormat="1" ht="92" thickTop="1" thickBot="1" x14ac:dyDescent="0.2">
      <c r="A1" s="278"/>
      <c r="B1" s="278" t="s">
        <v>8</v>
      </c>
      <c r="C1" s="387" t="s">
        <v>27</v>
      </c>
      <c r="D1" s="388"/>
      <c r="E1" s="389" t="s">
        <v>55</v>
      </c>
      <c r="F1" s="390"/>
      <c r="G1" s="391" t="s">
        <v>26</v>
      </c>
      <c r="H1" s="392"/>
      <c r="I1" s="389" t="s">
        <v>4</v>
      </c>
      <c r="J1" s="390"/>
      <c r="K1" s="389" t="s">
        <v>17</v>
      </c>
      <c r="L1" s="390"/>
      <c r="M1" s="393" t="s">
        <v>18</v>
      </c>
      <c r="N1" s="394"/>
      <c r="O1" s="401" t="s">
        <v>207</v>
      </c>
      <c r="P1" s="402"/>
      <c r="Q1" s="402"/>
      <c r="R1" s="403"/>
      <c r="S1" s="395" t="s">
        <v>19</v>
      </c>
      <c r="T1" s="396"/>
      <c r="U1" s="397" t="s">
        <v>154</v>
      </c>
      <c r="V1" s="398"/>
      <c r="W1" s="397" t="s">
        <v>155</v>
      </c>
      <c r="X1" s="398"/>
      <c r="Y1" s="399" t="s">
        <v>149</v>
      </c>
      <c r="Z1" s="400"/>
      <c r="AA1" s="389" t="s">
        <v>122</v>
      </c>
      <c r="AB1" s="390"/>
      <c r="AC1" s="389" t="s">
        <v>183</v>
      </c>
      <c r="AD1" s="390"/>
      <c r="AE1" s="389" t="s">
        <v>20</v>
      </c>
      <c r="AF1" s="390"/>
      <c r="AG1" s="389" t="s">
        <v>3</v>
      </c>
      <c r="AH1" s="390"/>
      <c r="AI1" s="240" t="s">
        <v>156</v>
      </c>
      <c r="AJ1" s="241" t="s">
        <v>31</v>
      </c>
      <c r="AK1" s="242" t="s">
        <v>29</v>
      </c>
      <c r="AL1" s="243" t="s">
        <v>30</v>
      </c>
      <c r="AM1" s="241" t="s">
        <v>0</v>
      </c>
      <c r="AN1" s="244" t="s">
        <v>53</v>
      </c>
      <c r="AO1" s="241" t="s">
        <v>1</v>
      </c>
      <c r="AP1" s="243" t="s">
        <v>2</v>
      </c>
      <c r="AQ1" s="280" t="s">
        <v>204</v>
      </c>
      <c r="AR1" s="279" t="s">
        <v>205</v>
      </c>
      <c r="AS1" s="242" t="s">
        <v>206</v>
      </c>
      <c r="AT1" s="245" t="s">
        <v>5</v>
      </c>
      <c r="AU1" s="246" t="s">
        <v>34</v>
      </c>
      <c r="AV1" s="243" t="s">
        <v>35</v>
      </c>
      <c r="AW1" s="389" t="s">
        <v>32</v>
      </c>
      <c r="AX1" s="390"/>
      <c r="AY1" s="409" t="s">
        <v>201</v>
      </c>
      <c r="AZ1" s="410"/>
      <c r="BA1" s="245" t="s">
        <v>200</v>
      </c>
      <c r="BB1" s="242" t="s">
        <v>33</v>
      </c>
      <c r="BC1" s="245" t="s">
        <v>28</v>
      </c>
      <c r="BD1" s="242" t="s">
        <v>197</v>
      </c>
      <c r="BE1" s="242" t="s">
        <v>196</v>
      </c>
      <c r="BF1" s="245" t="s">
        <v>21</v>
      </c>
      <c r="BG1" s="275" t="s">
        <v>199</v>
      </c>
      <c r="BH1" s="276" t="s">
        <v>198</v>
      </c>
      <c r="BI1" s="247" t="s">
        <v>208</v>
      </c>
      <c r="BJ1" s="248" t="s">
        <v>209</v>
      </c>
      <c r="BK1" s="412" t="s">
        <v>218</v>
      </c>
      <c r="BL1" s="332"/>
      <c r="BM1" s="248" t="s">
        <v>51</v>
      </c>
      <c r="BN1" s="277" t="s">
        <v>157</v>
      </c>
      <c r="BO1" s="247" t="s">
        <v>219</v>
      </c>
      <c r="BP1" s="248" t="s">
        <v>52</v>
      </c>
      <c r="BQ1" s="248" t="s">
        <v>123</v>
      </c>
      <c r="BR1" s="247" t="s">
        <v>22</v>
      </c>
      <c r="BS1" s="320" t="s">
        <v>213</v>
      </c>
      <c r="BT1" s="310" t="s">
        <v>221</v>
      </c>
      <c r="BU1" s="331" t="s">
        <v>214</v>
      </c>
      <c r="BV1" s="332"/>
      <c r="BW1" s="298" t="s">
        <v>217</v>
      </c>
      <c r="BX1" s="331" t="s">
        <v>216</v>
      </c>
      <c r="BY1" s="332"/>
      <c r="BZ1" s="298" t="s">
        <v>222</v>
      </c>
      <c r="CA1" s="331" t="s">
        <v>215</v>
      </c>
      <c r="CB1" s="332"/>
      <c r="CC1" s="329" t="s">
        <v>220</v>
      </c>
      <c r="CD1" s="330"/>
      <c r="CE1" s="298" t="s">
        <v>210</v>
      </c>
      <c r="CF1" s="331" t="s">
        <v>211</v>
      </c>
      <c r="CG1" s="332"/>
      <c r="CH1" s="304" t="s">
        <v>212</v>
      </c>
      <c r="CI1" s="249" t="s">
        <v>23</v>
      </c>
      <c r="CJ1" s="250" t="s">
        <v>56</v>
      </c>
      <c r="CK1" s="251" t="s">
        <v>130</v>
      </c>
      <c r="CL1" s="252" t="s">
        <v>129</v>
      </c>
      <c r="CM1" s="253" t="s">
        <v>57</v>
      </c>
      <c r="CN1" s="248" t="s">
        <v>58</v>
      </c>
      <c r="CO1" s="247" t="s">
        <v>59</v>
      </c>
      <c r="CP1" s="254" t="s">
        <v>60</v>
      </c>
      <c r="CQ1" s="255" t="s">
        <v>61</v>
      </c>
      <c r="CR1" s="249" t="s">
        <v>62</v>
      </c>
      <c r="CS1" s="251" t="s">
        <v>24</v>
      </c>
      <c r="CT1" s="256" t="s">
        <v>70</v>
      </c>
      <c r="CU1" s="257" t="s">
        <v>71</v>
      </c>
      <c r="CV1" s="411" t="s">
        <v>63</v>
      </c>
      <c r="CW1" s="411"/>
      <c r="CX1" s="251" t="s">
        <v>124</v>
      </c>
      <c r="CY1" s="251" t="s">
        <v>131</v>
      </c>
      <c r="CZ1" s="251" t="s">
        <v>132</v>
      </c>
      <c r="DA1" s="252" t="s">
        <v>125</v>
      </c>
      <c r="DB1" s="321" t="s">
        <v>67</v>
      </c>
      <c r="DC1" s="258" t="s">
        <v>42</v>
      </c>
      <c r="DD1" s="321" t="s">
        <v>68</v>
      </c>
      <c r="DE1" s="258" t="s">
        <v>54</v>
      </c>
      <c r="DF1" s="409" t="s">
        <v>25</v>
      </c>
      <c r="DG1" s="410"/>
      <c r="DH1" s="239" t="s">
        <v>49</v>
      </c>
      <c r="DI1" s="259" t="s">
        <v>50</v>
      </c>
      <c r="DJ1" s="260" t="s">
        <v>36</v>
      </c>
      <c r="DK1" s="261" t="s">
        <v>37</v>
      </c>
      <c r="DL1" s="260" t="s">
        <v>43</v>
      </c>
      <c r="DM1" s="262" t="s">
        <v>38</v>
      </c>
      <c r="DN1" s="263" t="s">
        <v>39</v>
      </c>
      <c r="DO1" s="262" t="s">
        <v>44</v>
      </c>
      <c r="DP1" s="264" t="s">
        <v>64</v>
      </c>
      <c r="DQ1" s="265" t="s">
        <v>65</v>
      </c>
      <c r="DR1" s="265" t="s">
        <v>66</v>
      </c>
    </row>
    <row r="2" spans="1:124" s="238" customFormat="1" ht="15.75" customHeight="1" thickTop="1" x14ac:dyDescent="0.15">
      <c r="A2" s="415" t="s">
        <v>158</v>
      </c>
      <c r="B2" s="228">
        <v>43374</v>
      </c>
      <c r="C2" s="207">
        <v>0</v>
      </c>
      <c r="D2" s="358">
        <f>SUMIF(E2:E13,"&gt;0",C2:C13)</f>
        <v>0</v>
      </c>
      <c r="E2" s="61">
        <v>0</v>
      </c>
      <c r="F2" s="383">
        <f>SUM(E2:E13)</f>
        <v>0</v>
      </c>
      <c r="G2" s="56">
        <f t="shared" ref="G2:G65" ca="1" si="0">IF(TODAY()&lt;B3,IF(E2&gt;0,E2-C2,#N/A),E2-C2)</f>
        <v>0</v>
      </c>
      <c r="H2" s="358">
        <f ca="1">IF(TODAY()&lt;B2,#N/A,F2-D2)</f>
        <v>0</v>
      </c>
      <c r="I2" s="61">
        <v>0</v>
      </c>
      <c r="J2" s="383">
        <f>SUM(I2:I13)</f>
        <v>0</v>
      </c>
      <c r="K2" s="61">
        <v>0</v>
      </c>
      <c r="L2" s="383">
        <f>SUM(K2:K13)</f>
        <v>0</v>
      </c>
      <c r="M2" s="65">
        <f t="shared" ref="M2:M67" si="1">(E2+AA2)-((O2-P2)+S2+U2+AC2)</f>
        <v>0</v>
      </c>
      <c r="N2" s="404">
        <f>SUM(M2:M13)</f>
        <v>0</v>
      </c>
      <c r="O2" s="282"/>
      <c r="P2" s="282"/>
      <c r="Q2" s="286">
        <f t="shared" ref="Q2:Q65" si="2">O2-P2</f>
        <v>0</v>
      </c>
      <c r="R2" s="408">
        <f>SUM(Q2:Q13)</f>
        <v>0</v>
      </c>
      <c r="S2" s="61">
        <v>0</v>
      </c>
      <c r="T2" s="405">
        <f>SUM(S2:S13)</f>
        <v>0</v>
      </c>
      <c r="U2" s="61">
        <v>0</v>
      </c>
      <c r="V2" s="406">
        <f>SUM(U2:U13)</f>
        <v>0</v>
      </c>
      <c r="W2" s="61">
        <v>0</v>
      </c>
      <c r="X2" s="406">
        <f>SUM(W2:W13)</f>
        <v>0</v>
      </c>
      <c r="Y2" s="211" t="e">
        <f>IF(M2+S2+U2&gt;0,M2+S2+U2,#N/A)</f>
        <v>#N/A</v>
      </c>
      <c r="Z2" s="407">
        <f>N2+T2+V2</f>
        <v>0</v>
      </c>
      <c r="AA2" s="61">
        <v>0</v>
      </c>
      <c r="AB2" s="383">
        <f>SUM(AA2:AA13)</f>
        <v>0</v>
      </c>
      <c r="AC2" s="61">
        <v>0</v>
      </c>
      <c r="AD2" s="383">
        <f>SUM(AC2:AC13)</f>
        <v>0</v>
      </c>
      <c r="AE2" s="73" t="e">
        <f>IF(E2=0,#N/A,1/E2*(I2+K2))</f>
        <v>#N/A</v>
      </c>
      <c r="AF2" s="355" t="e">
        <f>IF(SUMIF(AE2:AE13,"&gt;0")&gt;0,SUMIF(AE2:AE13,"&gt;0")/COUNTIF(AE2:AE13,"&gt;0"),#N/A)</f>
        <v>#N/A</v>
      </c>
      <c r="AG2" s="73" t="e">
        <f t="shared" ref="AG2:AG49" si="3">IF(E2=0,#N/A,1/(I2+K2+AA2)*(I2+K2))</f>
        <v>#N/A</v>
      </c>
      <c r="AH2" s="355" t="e">
        <f>IF(SUMIF(AG2:AG13,"&gt;0")&gt;0,SUMIF(AG2:AG13,"&gt;0")/COUNTIF(AG2:AG13,"&gt;0"),#N/A)</f>
        <v>#N/A</v>
      </c>
      <c r="AI2" s="221">
        <v>0</v>
      </c>
      <c r="AJ2" s="78">
        <v>0.25750000000000001</v>
      </c>
      <c r="AK2" s="79">
        <f>59/12</f>
        <v>4.916666666666667</v>
      </c>
      <c r="AL2" s="80">
        <v>0</v>
      </c>
      <c r="AM2" s="78">
        <v>0</v>
      </c>
      <c r="AN2" s="80">
        <v>0</v>
      </c>
      <c r="AO2" s="78">
        <v>0.18890000000000001</v>
      </c>
      <c r="AP2" s="88">
        <v>9</v>
      </c>
      <c r="AQ2" s="64">
        <v>21.5</v>
      </c>
      <c r="AR2" s="64">
        <v>11.5</v>
      </c>
      <c r="AS2" s="88">
        <v>1.2889999999999999</v>
      </c>
      <c r="AT2" s="91">
        <v>200</v>
      </c>
      <c r="AU2" s="94"/>
      <c r="AV2" s="95"/>
      <c r="AW2" s="56">
        <f t="shared" ref="AW2:AW65" si="4">AC2-AA2</f>
        <v>0</v>
      </c>
      <c r="AX2" s="358">
        <f>SUM(AW2:AW13)</f>
        <v>0</v>
      </c>
      <c r="AY2" s="100">
        <f>BF2</f>
        <v>18.833333333333336</v>
      </c>
      <c r="AZ2" s="359">
        <f>SUM(AY2:AY13)</f>
        <v>111.94588033333338</v>
      </c>
      <c r="BA2" s="91">
        <v>0</v>
      </c>
      <c r="BB2" s="229">
        <f t="shared" ref="BB2:BB49" si="5">-AY2</f>
        <v>-18.833333333333336</v>
      </c>
      <c r="BC2" s="362">
        <f>SUM(AY2:AY13)/12</f>
        <v>9.3288233611111142</v>
      </c>
      <c r="BD2" s="91">
        <f t="shared" ref="BD2:BD65" ca="1" si="6">IF(TODAY()&lt;B3,IF(E2&gt;0,AY2+AU2,#N/A),AY2+AU2)</f>
        <v>18.833333333333336</v>
      </c>
      <c r="BE2" s="91">
        <f t="shared" ref="BE2:BE65" ca="1" si="7">IF(TODAY()&lt;B3,IF(E2&gt;0,BD2+AT2,#N/A),BD2+AT2)</f>
        <v>218.83333333333334</v>
      </c>
      <c r="BF2" s="91">
        <f t="shared" ref="BF2:BF65" si="8">(M2*AJ2+AK2)+(U2*AO2+AP2)+(S2*AJ2+AK2)</f>
        <v>18.833333333333336</v>
      </c>
      <c r="BG2" s="91">
        <f t="shared" ref="BG2:BG65" ca="1" si="9">BF2-BD2</f>
        <v>0</v>
      </c>
      <c r="BH2" s="91">
        <f t="shared" ref="BH2:BH13" ca="1" si="10">BF2-BE2</f>
        <v>-200</v>
      </c>
      <c r="BI2" s="40">
        <f ca="1">BE2-(S2*AJ2+AK2)</f>
        <v>213.91666666666669</v>
      </c>
      <c r="BJ2" s="104">
        <f>((M2+Q2)*AJ2+AK2)+((U2-W2+W2/('Vergleich Holz Strom'!$B$8-0.6))*AO2+AP2)</f>
        <v>13.916666666666668</v>
      </c>
      <c r="BK2" s="40">
        <f t="shared" ref="BK2:BK49" ca="1" si="11">BJ2-BI2</f>
        <v>-200.00000000000003</v>
      </c>
      <c r="BL2" s="413">
        <f ca="1">SUMIF(BK2:BK13,"&lt;&gt;#NV",BK2:BK13)</f>
        <v>-2335.1125469999997</v>
      </c>
      <c r="BM2" s="104">
        <f ca="1">BK2</f>
        <v>-200.00000000000003</v>
      </c>
      <c r="BN2" s="40">
        <v>0</v>
      </c>
      <c r="BO2" s="10">
        <f ca="1">BK2+AT2+AU2</f>
        <v>-2.8421709430404007E-14</v>
      </c>
      <c r="BP2" s="104">
        <f ca="1">-45407.64+BO2</f>
        <v>-45407.64</v>
      </c>
      <c r="BQ2" s="104">
        <f ca="1">BP2</f>
        <v>-45407.64</v>
      </c>
      <c r="BR2" s="40">
        <f t="shared" ref="BR2:BR65" si="12">M2*AJ2+AK2</f>
        <v>4.916666666666667</v>
      </c>
      <c r="BS2" s="311"/>
      <c r="BT2" s="307"/>
      <c r="BU2" s="295">
        <f t="shared" ref="BU2:BU65" si="13">Q2*AM2</f>
        <v>0</v>
      </c>
      <c r="BV2" s="340">
        <f>SUM(BU2:BU13)</f>
        <v>0</v>
      </c>
      <c r="BW2" s="299">
        <f t="shared" ref="BW2:BW65" si="14">Q2*AJ2</f>
        <v>0</v>
      </c>
      <c r="BX2" s="295">
        <f t="shared" ref="BX2:BX65" si="15">BW2-BU2</f>
        <v>0</v>
      </c>
      <c r="BY2" s="340">
        <f>SUM(BX2:BX13)</f>
        <v>0</v>
      </c>
      <c r="BZ2" s="299">
        <f>BX2</f>
        <v>0</v>
      </c>
      <c r="CA2" s="295">
        <f>BT2+BU2</f>
        <v>0</v>
      </c>
      <c r="CB2" s="340">
        <f>SUM(CA2:CA13)</f>
        <v>0</v>
      </c>
      <c r="CC2" s="314">
        <f t="shared" ref="CC2" si="16">Q2/AQ2*100+BS2/AQ2*100</f>
        <v>0</v>
      </c>
      <c r="CD2" s="338">
        <f>SUM(CC2:CC13)</f>
        <v>0</v>
      </c>
      <c r="CE2" s="299">
        <f t="shared" ref="CE2:CE65" si="17">CC2/AR2*AS2</f>
        <v>0</v>
      </c>
      <c r="CF2" s="284">
        <f t="shared" ref="CF2" si="18">CE2-CA2</f>
        <v>0</v>
      </c>
      <c r="CG2" s="328">
        <f>SUM(CF2:CF13)</f>
        <v>0</v>
      </c>
      <c r="CH2" s="299">
        <f>CF2</f>
        <v>0</v>
      </c>
      <c r="CI2" s="108">
        <f t="shared" ref="CI2:CI65" si="19">(S2*AJ2)</f>
        <v>0</v>
      </c>
      <c r="CJ2" s="200">
        <f t="shared" ref="CJ2:CJ65" si="20">((U2-W2)*AJ2)+(W2*AM2)</f>
        <v>0</v>
      </c>
      <c r="CK2" s="197">
        <f>U2*0.1147</f>
        <v>0</v>
      </c>
      <c r="CL2" s="203">
        <f t="shared" ref="CL2:CL65" si="21">U2*AO2+AP2</f>
        <v>9</v>
      </c>
      <c r="CM2" s="230">
        <f>U2*Jahresdaten!$AD$2</f>
        <v>0</v>
      </c>
      <c r="CN2" s="112">
        <f>CJ2*Jahresdaten!$AD$2</f>
        <v>0</v>
      </c>
      <c r="CO2" s="365">
        <f>CW2*Jahresdaten!$AD$2</f>
        <v>996.54699303166012</v>
      </c>
      <c r="CP2" s="116">
        <f>U2*Jahresdaten!$AD$3</f>
        <v>0</v>
      </c>
      <c r="CQ2" s="197">
        <f>CJ2*Jahresdaten!$AD$3</f>
        <v>0</v>
      </c>
      <c r="CR2" s="367">
        <f>CW2*Jahresdaten!$AD$3</f>
        <v>363.45300696833971</v>
      </c>
      <c r="CS2" s="231">
        <v>1360</v>
      </c>
      <c r="CT2" s="232">
        <v>15</v>
      </c>
      <c r="CU2" s="233">
        <f>IF(CT2=0,"",CT2*'Vergleich Holz Strom'!$B$2)</f>
        <v>32250</v>
      </c>
      <c r="CV2" s="120" t="s">
        <v>7</v>
      </c>
      <c r="CW2" s="365">
        <f>CV3+CV9</f>
        <v>1360</v>
      </c>
      <c r="CX2" s="344">
        <f>SUM(CS2:CS13)/SUM(CU2:CU13)*(SUM(CU2:CU13)+(V2*('Vergleich Holz Strom'!$B$8-0.6)/'Vergleich Holz Strom'!$E$6))</f>
        <v>1360</v>
      </c>
      <c r="CY2" s="344">
        <f>SUM(CU2:CU13)*'Vergleich Holz Strom'!$E$6/('Vergleich Holz Strom'!$B$8-0.6)*(SUM(AJ2:AJ13)/12)+CV3</f>
        <v>1748.4558823529414</v>
      </c>
      <c r="CZ2" s="344">
        <f>SUM(CU2:CU13)*'Vergleich Holz Strom'!$E$6/('Vergleich Holz Strom'!$B$8-0.6)*0.1147+SUM(CK2:CK13)</f>
        <v>761.57426470588234</v>
      </c>
      <c r="DA2" s="347">
        <f>SUM(CU2:CU13)*'Vergleich Holz Strom'!$E$6/('Vergleich Holz Strom'!$B$8-0.6)*(SUM(AO2:AO13)/12)+SUM(CL2:CL13)</f>
        <v>1362.240441176471</v>
      </c>
      <c r="DB2" s="94"/>
      <c r="DC2" s="88">
        <v>0</v>
      </c>
      <c r="DD2" s="94"/>
      <c r="DE2" s="88">
        <f>(AC2*AM2-AN2)-DD2</f>
        <v>0</v>
      </c>
      <c r="DF2" s="100">
        <f ca="1">BE2+(SUM(CS2:CS13)/12)</f>
        <v>332.16666666666669</v>
      </c>
      <c r="DG2" s="359">
        <f ca="1">SUMIF(DF2:DF13,"&gt;0")</f>
        <v>3871.9458803333337</v>
      </c>
      <c r="DH2" s="234">
        <f>M2+S2+U2</f>
        <v>0</v>
      </c>
      <c r="DI2" s="123">
        <f t="shared" ref="DI2:DI13" si="22">DK2+DN2+DQ2</f>
        <v>1850</v>
      </c>
      <c r="DJ2" s="235">
        <f>M2</f>
        <v>0</v>
      </c>
      <c r="DK2" s="127">
        <f>DK13/12*1</f>
        <v>650</v>
      </c>
      <c r="DL2" s="235">
        <f>$DK$13/12</f>
        <v>650</v>
      </c>
      <c r="DM2" s="130">
        <f>S2</f>
        <v>0</v>
      </c>
      <c r="DN2" s="236">
        <f>DN13/12*1</f>
        <v>250</v>
      </c>
      <c r="DO2" s="130">
        <f>$DN$13/12</f>
        <v>250</v>
      </c>
      <c r="DP2" s="230">
        <f>U2</f>
        <v>0</v>
      </c>
      <c r="DQ2" s="116">
        <f>DR2</f>
        <v>950</v>
      </c>
      <c r="DR2" s="116">
        <f>$DQ$13*9.5%</f>
        <v>950</v>
      </c>
      <c r="DS2" s="237"/>
      <c r="DT2" s="317"/>
    </row>
    <row r="3" spans="1:124" s="1" customFormat="1" ht="14.25" customHeight="1" x14ac:dyDescent="0.15">
      <c r="A3" s="416"/>
      <c r="B3" s="16">
        <v>43405</v>
      </c>
      <c r="C3" s="207">
        <v>0</v>
      </c>
      <c r="D3" s="351"/>
      <c r="E3" s="61">
        <v>0</v>
      </c>
      <c r="F3" s="351"/>
      <c r="G3" s="56">
        <f t="shared" ca="1" si="0"/>
        <v>0</v>
      </c>
      <c r="H3" s="351"/>
      <c r="I3" s="61">
        <v>0</v>
      </c>
      <c r="J3" s="351"/>
      <c r="K3" s="61">
        <v>0</v>
      </c>
      <c r="L3" s="351"/>
      <c r="M3" s="65">
        <f t="shared" si="1"/>
        <v>0</v>
      </c>
      <c r="N3" s="373"/>
      <c r="O3" s="288"/>
      <c r="P3" s="288"/>
      <c r="Q3" s="286">
        <f t="shared" si="2"/>
        <v>0</v>
      </c>
      <c r="R3" s="336"/>
      <c r="S3" s="61">
        <v>0</v>
      </c>
      <c r="T3" s="376"/>
      <c r="U3" s="61">
        <v>0</v>
      </c>
      <c r="V3" s="342"/>
      <c r="W3" s="61">
        <v>0</v>
      </c>
      <c r="X3" s="342"/>
      <c r="Y3" s="211" t="e">
        <f t="shared" ref="Y3:Y13" si="23">IF(M3+S3+U3&gt;0,M3+S3+U3,#N/A)</f>
        <v>#N/A</v>
      </c>
      <c r="Z3" s="370"/>
      <c r="AA3" s="61">
        <v>0</v>
      </c>
      <c r="AB3" s="351"/>
      <c r="AC3" s="61">
        <v>0</v>
      </c>
      <c r="AD3" s="351"/>
      <c r="AE3" s="73" t="e">
        <f>IF(E3=0,#N/A,1/E3*(I3+K3))</f>
        <v>#N/A</v>
      </c>
      <c r="AF3" s="356"/>
      <c r="AG3" s="73" t="e">
        <f t="shared" si="3"/>
        <v>#N/A</v>
      </c>
      <c r="AH3" s="356"/>
      <c r="AI3" s="221">
        <f>AI2</f>
        <v>0</v>
      </c>
      <c r="AJ3" s="78">
        <f t="shared" ref="AJ3:AM13" si="24">AJ2</f>
        <v>0.25750000000000001</v>
      </c>
      <c r="AK3" s="79">
        <f>AK2</f>
        <v>4.916666666666667</v>
      </c>
      <c r="AL3" s="80">
        <f>AL2</f>
        <v>0</v>
      </c>
      <c r="AM3" s="78">
        <f>AM2</f>
        <v>0</v>
      </c>
      <c r="AN3" s="80">
        <f>AN2</f>
        <v>0</v>
      </c>
      <c r="AO3" s="78">
        <f>AO2</f>
        <v>0.18890000000000001</v>
      </c>
      <c r="AP3" s="88">
        <f t="shared" ref="AO3:AP13" si="25">AP2</f>
        <v>9</v>
      </c>
      <c r="AQ3" s="64">
        <f t="shared" ref="AQ3:AT4" si="26">AQ2</f>
        <v>21.5</v>
      </c>
      <c r="AR3" s="64">
        <f t="shared" si="26"/>
        <v>11.5</v>
      </c>
      <c r="AS3" s="88">
        <f t="shared" si="26"/>
        <v>1.2889999999999999</v>
      </c>
      <c r="AT3" s="91">
        <f t="shared" si="26"/>
        <v>200</v>
      </c>
      <c r="AU3" s="94"/>
      <c r="AV3" s="95"/>
      <c r="AW3" s="56">
        <f t="shared" si="4"/>
        <v>0</v>
      </c>
      <c r="AX3" s="351"/>
      <c r="AY3" s="100">
        <f>BF3</f>
        <v>18.833333333333336</v>
      </c>
      <c r="AZ3" s="360"/>
      <c r="BA3" s="91">
        <v>0</v>
      </c>
      <c r="BB3" s="5">
        <f t="shared" si="5"/>
        <v>-18.833333333333336</v>
      </c>
      <c r="BC3" s="363"/>
      <c r="BD3" s="91">
        <f t="shared" ca="1" si="6"/>
        <v>18.833333333333336</v>
      </c>
      <c r="BE3" s="91">
        <f t="shared" ca="1" si="7"/>
        <v>218.83333333333334</v>
      </c>
      <c r="BF3" s="91">
        <f t="shared" si="8"/>
        <v>18.833333333333336</v>
      </c>
      <c r="BG3" s="91">
        <f t="shared" ca="1" si="9"/>
        <v>0</v>
      </c>
      <c r="BH3" s="91">
        <f t="shared" ca="1" si="10"/>
        <v>-200</v>
      </c>
      <c r="BI3" s="10">
        <f ca="1">BE3-(S3*AJ3+AK3)</f>
        <v>213.91666666666669</v>
      </c>
      <c r="BJ3" s="104">
        <f>((M3+Q3)*AJ3+AK3)+((U3-W3+W3/('Vergleich Holz Strom'!$B$8-0.6))*AO3+AP3)</f>
        <v>13.916666666666668</v>
      </c>
      <c r="BK3" s="10">
        <f t="shared" ca="1" si="11"/>
        <v>-200.00000000000003</v>
      </c>
      <c r="BL3" s="379"/>
      <c r="BM3" s="104">
        <f t="shared" ref="BM3:BM66" ca="1" si="27">BM2+BK3</f>
        <v>-400.00000000000006</v>
      </c>
      <c r="BN3" s="40">
        <f ca="1">IF(ISNUMBER(BK3),BN2+SUMIF(BK2:BK13,"&lt;&gt;#NV",BK2:BK13)/(COUNTIF(BK2:BK13,"&lt;&gt;#NV")-1),#N/A)</f>
        <v>-212.28295881818178</v>
      </c>
      <c r="BO3" s="10">
        <f t="shared" ref="BO3:BO10" ca="1" si="28">BK3+AT3+AU3</f>
        <v>-2.8421709430404007E-14</v>
      </c>
      <c r="BP3" s="104">
        <f t="shared" ref="BP3:BP49" ca="1" si="29">BP2+BO3</f>
        <v>-45407.64</v>
      </c>
      <c r="BQ3" s="104">
        <f ca="1">BP3</f>
        <v>-45407.64</v>
      </c>
      <c r="BR3" s="10">
        <f t="shared" si="12"/>
        <v>4.916666666666667</v>
      </c>
      <c r="BS3" s="311"/>
      <c r="BT3" s="307"/>
      <c r="BU3" s="295">
        <f t="shared" si="13"/>
        <v>0</v>
      </c>
      <c r="BV3" s="323"/>
      <c r="BW3" s="299">
        <f t="shared" si="14"/>
        <v>0</v>
      </c>
      <c r="BX3" s="295">
        <f t="shared" si="15"/>
        <v>0</v>
      </c>
      <c r="BY3" s="414"/>
      <c r="BZ3" s="299">
        <f t="shared" ref="BZ3:BZ66" si="30">BZ2+BX3</f>
        <v>0</v>
      </c>
      <c r="CA3" s="295">
        <f>BT3+BU3</f>
        <v>0</v>
      </c>
      <c r="CB3" s="323"/>
      <c r="CC3" s="314">
        <f>Q3/AQ3*100+BS3/AQ3*100</f>
        <v>0</v>
      </c>
      <c r="CD3" s="339"/>
      <c r="CE3" s="299">
        <f t="shared" si="17"/>
        <v>0</v>
      </c>
      <c r="CF3" s="284">
        <f>CE3-CA3</f>
        <v>0</v>
      </c>
      <c r="CG3" s="323"/>
      <c r="CH3" s="302">
        <f t="shared" ref="CH3:CH11" si="31">CH2+CF3</f>
        <v>0</v>
      </c>
      <c r="CI3" s="108">
        <f t="shared" si="19"/>
        <v>0</v>
      </c>
      <c r="CJ3" s="200">
        <f t="shared" si="20"/>
        <v>0</v>
      </c>
      <c r="CK3" s="197">
        <f>U3*0.1147</f>
        <v>0</v>
      </c>
      <c r="CL3" s="203">
        <f t="shared" si="21"/>
        <v>9</v>
      </c>
      <c r="CM3" s="4">
        <f>U3*Jahresdaten!$AD$2</f>
        <v>0</v>
      </c>
      <c r="CN3" s="112">
        <f>CJ3*Jahresdaten!$AD$2</f>
        <v>0</v>
      </c>
      <c r="CO3" s="366"/>
      <c r="CP3" s="116">
        <f>U3*Jahresdaten!$AD$3</f>
        <v>0</v>
      </c>
      <c r="CQ3" s="12">
        <f>CJ3*Jahresdaten!$AD$3</f>
        <v>0</v>
      </c>
      <c r="CR3" s="353"/>
      <c r="CS3" s="14"/>
      <c r="CT3" s="136"/>
      <c r="CU3" s="140" t="str">
        <f>IF(CT3=0,"",CT3*'Vergleich Holz Strom'!$B$2)</f>
        <v/>
      </c>
      <c r="CV3" s="353">
        <f>SUM(CJ2:CJ13)</f>
        <v>0</v>
      </c>
      <c r="CW3" s="366"/>
      <c r="CX3" s="345"/>
      <c r="CY3" s="345"/>
      <c r="CZ3" s="345"/>
      <c r="DA3" s="348"/>
      <c r="DB3" s="94"/>
      <c r="DC3" s="88">
        <v>0</v>
      </c>
      <c r="DD3" s="94"/>
      <c r="DE3" s="88">
        <f>DE2+(AC3*AM3-AN3)-DD3</f>
        <v>0</v>
      </c>
      <c r="DF3" s="100">
        <f ca="1">BE3+(SUM(CS2:CS13)/12)</f>
        <v>332.16666666666669</v>
      </c>
      <c r="DG3" s="351"/>
      <c r="DH3" s="8">
        <f t="shared" ref="DH3:DH13" si="32">DH2+M3+S3+U3</f>
        <v>0</v>
      </c>
      <c r="DI3" s="123">
        <f t="shared" si="22"/>
        <v>3550</v>
      </c>
      <c r="DJ3" s="2">
        <f t="shared" ref="DJ3:DJ13" si="33">DJ2+M3</f>
        <v>0</v>
      </c>
      <c r="DK3" s="127">
        <f>DK13/12*2</f>
        <v>1300</v>
      </c>
      <c r="DL3" s="2">
        <f t="shared" ref="DL3:DL13" si="34">DL2</f>
        <v>650</v>
      </c>
      <c r="DM3" s="130">
        <f t="shared" ref="DM3:DM13" si="35">DM2+S3</f>
        <v>0</v>
      </c>
      <c r="DN3" s="3">
        <f>DN13/12*2</f>
        <v>500</v>
      </c>
      <c r="DO3" s="130">
        <f>DO2</f>
        <v>250</v>
      </c>
      <c r="DP3" s="4">
        <f t="shared" ref="DP3:DP13" si="36">DP2+U3</f>
        <v>0</v>
      </c>
      <c r="DQ3" s="116">
        <f t="shared" ref="DQ3:DQ12" si="37">DQ2+DR3</f>
        <v>1750</v>
      </c>
      <c r="DR3" s="116">
        <f>$DQ$13*8%</f>
        <v>800</v>
      </c>
      <c r="DS3" s="196"/>
      <c r="DT3" s="317"/>
    </row>
    <row r="4" spans="1:124" s="1" customFormat="1" ht="14.25" customHeight="1" x14ac:dyDescent="0.15">
      <c r="A4" s="416"/>
      <c r="B4" s="16">
        <v>43435</v>
      </c>
      <c r="C4" s="207">
        <f>'PV-Felder'!$B$13/15.18*11.88/31*10</f>
        <v>108.53015427769988</v>
      </c>
      <c r="D4" s="351"/>
      <c r="E4" s="61">
        <v>0</v>
      </c>
      <c r="F4" s="351"/>
      <c r="G4" s="56">
        <f t="shared" ca="1" si="0"/>
        <v>-108.53015427769988</v>
      </c>
      <c r="H4" s="351"/>
      <c r="I4" s="61">
        <v>0</v>
      </c>
      <c r="J4" s="351"/>
      <c r="K4" s="61">
        <v>0</v>
      </c>
      <c r="L4" s="351"/>
      <c r="M4" s="65">
        <f t="shared" si="1"/>
        <v>0</v>
      </c>
      <c r="N4" s="373"/>
      <c r="O4" s="288"/>
      <c r="P4" s="288"/>
      <c r="Q4" s="286">
        <f t="shared" si="2"/>
        <v>0</v>
      </c>
      <c r="R4" s="336"/>
      <c r="S4" s="61">
        <v>0</v>
      </c>
      <c r="T4" s="376"/>
      <c r="U4" s="61">
        <v>0</v>
      </c>
      <c r="V4" s="342"/>
      <c r="W4" s="61">
        <v>0</v>
      </c>
      <c r="X4" s="342"/>
      <c r="Y4" s="211" t="e">
        <f t="shared" si="23"/>
        <v>#N/A</v>
      </c>
      <c r="Z4" s="370"/>
      <c r="AA4" s="61">
        <v>0</v>
      </c>
      <c r="AB4" s="351"/>
      <c r="AC4" s="61">
        <v>0</v>
      </c>
      <c r="AD4" s="351"/>
      <c r="AE4" s="73" t="e">
        <f t="shared" ref="AE4:AE49" si="38">IF(E4=0,#N/A,1/E4*(E4-AC4))</f>
        <v>#N/A</v>
      </c>
      <c r="AF4" s="356"/>
      <c r="AG4" s="73" t="e">
        <f t="shared" si="3"/>
        <v>#N/A</v>
      </c>
      <c r="AH4" s="356"/>
      <c r="AI4" s="221">
        <v>11.88</v>
      </c>
      <c r="AJ4" s="78">
        <f t="shared" si="24"/>
        <v>0.25750000000000001</v>
      </c>
      <c r="AK4" s="79">
        <f t="shared" si="24"/>
        <v>4.916666666666667</v>
      </c>
      <c r="AL4" s="80">
        <f>AL3</f>
        <v>0</v>
      </c>
      <c r="AM4" s="78">
        <f t="shared" si="24"/>
        <v>0</v>
      </c>
      <c r="AN4" s="80">
        <f>AN3</f>
        <v>0</v>
      </c>
      <c r="AO4" s="78">
        <f>AO3</f>
        <v>0.18890000000000001</v>
      </c>
      <c r="AP4" s="88">
        <f>AP3</f>
        <v>9</v>
      </c>
      <c r="AQ4" s="64">
        <f t="shared" si="26"/>
        <v>21.5</v>
      </c>
      <c r="AR4" s="64">
        <f t="shared" si="26"/>
        <v>11.5</v>
      </c>
      <c r="AS4" s="88">
        <f t="shared" si="26"/>
        <v>1.2889999999999999</v>
      </c>
      <c r="AT4" s="91">
        <f t="shared" si="26"/>
        <v>200</v>
      </c>
      <c r="AU4" s="94"/>
      <c r="AV4" s="95"/>
      <c r="AW4" s="56">
        <f t="shared" si="4"/>
        <v>0</v>
      </c>
      <c r="AX4" s="351"/>
      <c r="AY4" s="100">
        <f>((AA4-U4)*AJ4+AK4)+(U4*AO4+AP4)-(AC4*AM4)</f>
        <v>13.916666666666668</v>
      </c>
      <c r="AZ4" s="360"/>
      <c r="BA4" s="91">
        <f t="shared" ref="BA4:BA13" si="39">BA3-AY4</f>
        <v>-13.916666666666668</v>
      </c>
      <c r="BB4" s="5">
        <f t="shared" si="5"/>
        <v>-13.916666666666668</v>
      </c>
      <c r="BC4" s="363"/>
      <c r="BD4" s="91">
        <f t="shared" ca="1" si="6"/>
        <v>13.916666666666668</v>
      </c>
      <c r="BE4" s="91">
        <f t="shared" ca="1" si="7"/>
        <v>213.91666666666666</v>
      </c>
      <c r="BF4" s="91">
        <f t="shared" si="8"/>
        <v>18.833333333333336</v>
      </c>
      <c r="BG4" s="91">
        <f t="shared" ca="1" si="9"/>
        <v>4.9166666666666679</v>
      </c>
      <c r="BH4" s="91">
        <f t="shared" ca="1" si="10"/>
        <v>-195.08333333333331</v>
      </c>
      <c r="BI4" s="10">
        <f t="shared" ref="BI4:BI67" ca="1" si="40">BE4-(S4*AJ4)</f>
        <v>213.91666666666666</v>
      </c>
      <c r="BJ4" s="104">
        <f>((M4+Q4)*AJ4+AK4)+((U4-W4+W4/('Vergleich Holz Strom'!$B$8-0.6))*AO4+AP4)</f>
        <v>13.916666666666668</v>
      </c>
      <c r="BK4" s="10">
        <f t="shared" ca="1" si="11"/>
        <v>-200</v>
      </c>
      <c r="BL4" s="379"/>
      <c r="BM4" s="104">
        <f t="shared" ca="1" si="27"/>
        <v>-600</v>
      </c>
      <c r="BN4" s="40">
        <f ca="1">IF(ISNUMBER(BK4),BN3+SUMIF(BK2:BK13,"&lt;&gt;#NV",BK2:BK13)/(COUNTIF(BK2:BK13,"&lt;&gt;#NV")-1),#N/A)</f>
        <v>-424.56591763636357</v>
      </c>
      <c r="BO4" s="10">
        <f t="shared" ca="1" si="28"/>
        <v>0</v>
      </c>
      <c r="BP4" s="104">
        <f t="shared" ca="1" si="29"/>
        <v>-45407.64</v>
      </c>
      <c r="BQ4" s="104">
        <f t="shared" ref="BQ4:BQ12" ca="1" si="41">BP4</f>
        <v>-45407.64</v>
      </c>
      <c r="BR4" s="10">
        <f t="shared" si="12"/>
        <v>4.916666666666667</v>
      </c>
      <c r="BS4" s="311"/>
      <c r="BT4" s="307"/>
      <c r="BU4" s="295">
        <f t="shared" si="13"/>
        <v>0</v>
      </c>
      <c r="BV4" s="323"/>
      <c r="BW4" s="299">
        <f t="shared" si="14"/>
        <v>0</v>
      </c>
      <c r="BX4" s="295">
        <f t="shared" si="15"/>
        <v>0</v>
      </c>
      <c r="BY4" s="414"/>
      <c r="BZ4" s="299">
        <f t="shared" si="30"/>
        <v>0</v>
      </c>
      <c r="CA4" s="295">
        <f t="shared" ref="CA4:CA67" si="42">BT4+BU4</f>
        <v>0</v>
      </c>
      <c r="CB4" s="323"/>
      <c r="CC4" s="314">
        <f t="shared" ref="CC4:CC14" si="43">Q4/AQ4*100+BS4/AQ4*100</f>
        <v>0</v>
      </c>
      <c r="CD4" s="339"/>
      <c r="CE4" s="299">
        <f t="shared" si="17"/>
        <v>0</v>
      </c>
      <c r="CF4" s="284">
        <f t="shared" ref="CF4:CF14" si="44">CE4-CA4</f>
        <v>0</v>
      </c>
      <c r="CG4" s="323"/>
      <c r="CH4" s="302">
        <f t="shared" si="31"/>
        <v>0</v>
      </c>
      <c r="CI4" s="108">
        <f t="shared" si="19"/>
        <v>0</v>
      </c>
      <c r="CJ4" s="200">
        <f t="shared" si="20"/>
        <v>0</v>
      </c>
      <c r="CK4" s="197">
        <f>U4*0.1147</f>
        <v>0</v>
      </c>
      <c r="CL4" s="203">
        <f t="shared" si="21"/>
        <v>9</v>
      </c>
      <c r="CM4" s="4">
        <f>U4*Jahresdaten!$AD$2</f>
        <v>0</v>
      </c>
      <c r="CN4" s="112">
        <f>CJ4*Jahresdaten!$AD$2</f>
        <v>0</v>
      </c>
      <c r="CO4" s="366"/>
      <c r="CP4" s="116">
        <f>U4*Jahresdaten!$AD$3</f>
        <v>0</v>
      </c>
      <c r="CQ4" s="12">
        <f>CJ4*Jahresdaten!$AD$3</f>
        <v>0</v>
      </c>
      <c r="CR4" s="353"/>
      <c r="CS4" s="14"/>
      <c r="CT4" s="136"/>
      <c r="CU4" s="140" t="str">
        <f>IF(CT4=0,"",CT4*'Vergleich Holz Strom'!$B$2)</f>
        <v/>
      </c>
      <c r="CV4" s="353"/>
      <c r="CW4" s="366"/>
      <c r="CX4" s="345"/>
      <c r="CY4" s="345"/>
      <c r="CZ4" s="345"/>
      <c r="DA4" s="348"/>
      <c r="DB4" s="94"/>
      <c r="DC4" s="88">
        <f>DC3+AL4-((AA4-U4-130.3+19.9)*AJ4+AK4)-DB4</f>
        <v>23.511333333333333</v>
      </c>
      <c r="DD4" s="94"/>
      <c r="DE4" s="88">
        <f>DE3+(AC4*AM4-AN4)-DD4</f>
        <v>0</v>
      </c>
      <c r="DF4" s="100">
        <f ca="1">BE4+(SUM(CS2:CS13)/12)</f>
        <v>327.25</v>
      </c>
      <c r="DG4" s="351"/>
      <c r="DH4" s="8">
        <f t="shared" si="32"/>
        <v>0</v>
      </c>
      <c r="DI4" s="123">
        <f t="shared" si="22"/>
        <v>5300</v>
      </c>
      <c r="DJ4" s="2">
        <f t="shared" si="33"/>
        <v>0</v>
      </c>
      <c r="DK4" s="127">
        <f>DK13/12*3</f>
        <v>1950</v>
      </c>
      <c r="DL4" s="2">
        <f t="shared" si="34"/>
        <v>650</v>
      </c>
      <c r="DM4" s="130">
        <f t="shared" si="35"/>
        <v>0</v>
      </c>
      <c r="DN4" s="3">
        <f>DN13/12*3</f>
        <v>750</v>
      </c>
      <c r="DO4" s="130">
        <f t="shared" ref="DO4:DO13" si="45">DO3</f>
        <v>250</v>
      </c>
      <c r="DP4" s="4">
        <f t="shared" si="36"/>
        <v>0</v>
      </c>
      <c r="DQ4" s="116">
        <f t="shared" si="37"/>
        <v>2600</v>
      </c>
      <c r="DR4" s="116">
        <f>$DQ$13*8.5%</f>
        <v>850.00000000000011</v>
      </c>
      <c r="DS4" s="196"/>
      <c r="DT4" s="317"/>
    </row>
    <row r="5" spans="1:124" s="1" customFormat="1" ht="14.25" customHeight="1" x14ac:dyDescent="0.15">
      <c r="A5" s="416"/>
      <c r="B5" s="16">
        <v>43466</v>
      </c>
      <c r="C5" s="207">
        <f>'PV-Felder'!$B$2/15.18*11.88</f>
        <v>392.40000000000003</v>
      </c>
      <c r="D5" s="351"/>
      <c r="E5" s="61">
        <v>0</v>
      </c>
      <c r="F5" s="351"/>
      <c r="G5" s="56">
        <f t="shared" ca="1" si="0"/>
        <v>-392.40000000000003</v>
      </c>
      <c r="H5" s="351"/>
      <c r="I5" s="61">
        <v>0</v>
      </c>
      <c r="J5" s="351"/>
      <c r="K5" s="61">
        <v>0</v>
      </c>
      <c r="L5" s="351"/>
      <c r="M5" s="65">
        <f t="shared" si="1"/>
        <v>0</v>
      </c>
      <c r="N5" s="373"/>
      <c r="O5" s="288"/>
      <c r="P5" s="288"/>
      <c r="Q5" s="286">
        <f t="shared" si="2"/>
        <v>0</v>
      </c>
      <c r="R5" s="336"/>
      <c r="S5" s="61">
        <v>0</v>
      </c>
      <c r="T5" s="376"/>
      <c r="U5" s="61">
        <v>0</v>
      </c>
      <c r="V5" s="342"/>
      <c r="W5" s="61">
        <v>0</v>
      </c>
      <c r="X5" s="342"/>
      <c r="Y5" s="211" t="e">
        <f t="shared" si="23"/>
        <v>#N/A</v>
      </c>
      <c r="Z5" s="370"/>
      <c r="AA5" s="61">
        <v>0</v>
      </c>
      <c r="AB5" s="351"/>
      <c r="AC5" s="61">
        <v>0</v>
      </c>
      <c r="AD5" s="351"/>
      <c r="AE5" s="73" t="e">
        <f t="shared" si="38"/>
        <v>#N/A</v>
      </c>
      <c r="AF5" s="356"/>
      <c r="AG5" s="73" t="e">
        <f t="shared" si="3"/>
        <v>#N/A</v>
      </c>
      <c r="AH5" s="356"/>
      <c r="AI5" s="221">
        <f t="shared" ref="AI5:AI11" si="46">AI4</f>
        <v>11.88</v>
      </c>
      <c r="AJ5" s="78">
        <f t="shared" si="24"/>
        <v>0.25750000000000001</v>
      </c>
      <c r="AK5" s="79">
        <f t="shared" si="24"/>
        <v>4.916666666666667</v>
      </c>
      <c r="AL5" s="80">
        <v>150.25</v>
      </c>
      <c r="AM5" s="78">
        <f t="shared" si="24"/>
        <v>0</v>
      </c>
      <c r="AN5" s="80">
        <f>AN4</f>
        <v>0</v>
      </c>
      <c r="AO5" s="78">
        <f t="shared" si="25"/>
        <v>0.18890000000000001</v>
      </c>
      <c r="AP5" s="88">
        <f t="shared" si="25"/>
        <v>9</v>
      </c>
      <c r="AQ5" s="64">
        <f t="shared" ref="AQ5:AQ68" si="47">AQ4</f>
        <v>21.5</v>
      </c>
      <c r="AR5" s="64">
        <f t="shared" ref="AR5:AR68" si="48">AR4</f>
        <v>11.5</v>
      </c>
      <c r="AS5" s="88">
        <v>1.2669999999999999</v>
      </c>
      <c r="AT5" s="91">
        <f t="shared" ref="AT5:AT13" si="49">AT4</f>
        <v>200</v>
      </c>
      <c r="AU5" s="94"/>
      <c r="AV5" s="95"/>
      <c r="AW5" s="56">
        <f t="shared" si="4"/>
        <v>0</v>
      </c>
      <c r="AX5" s="351"/>
      <c r="AY5" s="100">
        <f>((AA5-U5)*AJ5+AK5)+(U5*AO5+AP5)-(AC5*AM5)</f>
        <v>13.916666666666668</v>
      </c>
      <c r="AZ5" s="360"/>
      <c r="BA5" s="91">
        <f t="shared" si="39"/>
        <v>-27.833333333333336</v>
      </c>
      <c r="BB5" s="5">
        <f t="shared" si="5"/>
        <v>-13.916666666666668</v>
      </c>
      <c r="BC5" s="363"/>
      <c r="BD5" s="91">
        <f t="shared" ca="1" si="6"/>
        <v>13.916666666666668</v>
      </c>
      <c r="BE5" s="91">
        <f t="shared" ca="1" si="7"/>
        <v>213.91666666666666</v>
      </c>
      <c r="BF5" s="91">
        <f t="shared" si="8"/>
        <v>18.833333333333336</v>
      </c>
      <c r="BG5" s="91">
        <f t="shared" ca="1" si="9"/>
        <v>4.9166666666666679</v>
      </c>
      <c r="BH5" s="91">
        <f t="shared" ca="1" si="10"/>
        <v>-195.08333333333331</v>
      </c>
      <c r="BI5" s="10">
        <f t="shared" ca="1" si="40"/>
        <v>213.91666666666666</v>
      </c>
      <c r="BJ5" s="104">
        <f>((M5+Q5)*AJ5+AK5)+((U5-W5+W5/('Vergleich Holz Strom'!$B$8-0.6))*AO5+AP5)</f>
        <v>13.916666666666668</v>
      </c>
      <c r="BK5" s="10">
        <f t="shared" ca="1" si="11"/>
        <v>-200</v>
      </c>
      <c r="BL5" s="379"/>
      <c r="BM5" s="104">
        <f t="shared" ca="1" si="27"/>
        <v>-800</v>
      </c>
      <c r="BN5" s="40">
        <f ca="1">IF(ISNUMBER(BK5),BN4+SUMIF(BK2:BK13,"&lt;&gt;#NV",BK2:BK13)/(COUNTIF(BK2:BK13,"&lt;&gt;#NV")-1),#N/A)</f>
        <v>-636.84887645454535</v>
      </c>
      <c r="BO5" s="10">
        <f t="shared" ca="1" si="28"/>
        <v>0</v>
      </c>
      <c r="BP5" s="104">
        <f t="shared" ca="1" si="29"/>
        <v>-45407.64</v>
      </c>
      <c r="BQ5" s="104">
        <f t="shared" ca="1" si="41"/>
        <v>-45407.64</v>
      </c>
      <c r="BR5" s="10">
        <f t="shared" si="12"/>
        <v>4.916666666666667</v>
      </c>
      <c r="BS5" s="311"/>
      <c r="BT5" s="307"/>
      <c r="BU5" s="295">
        <f t="shared" si="13"/>
        <v>0</v>
      </c>
      <c r="BV5" s="323"/>
      <c r="BW5" s="299">
        <f t="shared" si="14"/>
        <v>0</v>
      </c>
      <c r="BX5" s="295">
        <f t="shared" si="15"/>
        <v>0</v>
      </c>
      <c r="BY5" s="414"/>
      <c r="BZ5" s="299">
        <f t="shared" si="30"/>
        <v>0</v>
      </c>
      <c r="CA5" s="295">
        <f t="shared" si="42"/>
        <v>0</v>
      </c>
      <c r="CB5" s="323"/>
      <c r="CC5" s="314">
        <f t="shared" si="43"/>
        <v>0</v>
      </c>
      <c r="CD5" s="339"/>
      <c r="CE5" s="299">
        <f t="shared" si="17"/>
        <v>0</v>
      </c>
      <c r="CF5" s="284">
        <f t="shared" si="44"/>
        <v>0</v>
      </c>
      <c r="CG5" s="323"/>
      <c r="CH5" s="302">
        <f t="shared" si="31"/>
        <v>0</v>
      </c>
      <c r="CI5" s="108">
        <f t="shared" si="19"/>
        <v>0</v>
      </c>
      <c r="CJ5" s="200">
        <f t="shared" si="20"/>
        <v>0</v>
      </c>
      <c r="CK5" s="197">
        <f>U5*0.1147</f>
        <v>0</v>
      </c>
      <c r="CL5" s="203">
        <f t="shared" si="21"/>
        <v>9</v>
      </c>
      <c r="CM5" s="4">
        <f>U5*Jahresdaten!$AD$2</f>
        <v>0</v>
      </c>
      <c r="CN5" s="112">
        <f>CJ5*Jahresdaten!$AD$2</f>
        <v>0</v>
      </c>
      <c r="CO5" s="366"/>
      <c r="CP5" s="116">
        <f>U5*Jahresdaten!$AD$3</f>
        <v>0</v>
      </c>
      <c r="CQ5" s="12">
        <f>CJ5*Jahresdaten!$AD$3</f>
        <v>0</v>
      </c>
      <c r="CR5" s="353"/>
      <c r="CS5" s="14"/>
      <c r="CT5" s="136"/>
      <c r="CU5" s="140" t="str">
        <f>IF(CT5=0,"",CT5*'Vergleich Holz Strom'!$B$2)</f>
        <v/>
      </c>
      <c r="CV5" s="353"/>
      <c r="CW5" s="366"/>
      <c r="CX5" s="345"/>
      <c r="CY5" s="345"/>
      <c r="CZ5" s="345"/>
      <c r="DA5" s="348"/>
      <c r="DB5" s="94"/>
      <c r="DC5" s="88">
        <f>DC4+AL5-((AA5-U5)*AJ5+AK5)-DB5</f>
        <v>168.84466666666668</v>
      </c>
      <c r="DD5" s="94"/>
      <c r="DE5" s="88">
        <f>DE4+(AC5*AM5-AN5)-DD5</f>
        <v>0</v>
      </c>
      <c r="DF5" s="100">
        <f ca="1">BE5+(SUM(CS2:CS13)/12)</f>
        <v>327.25</v>
      </c>
      <c r="DG5" s="351"/>
      <c r="DH5" s="8">
        <f t="shared" si="32"/>
        <v>0</v>
      </c>
      <c r="DI5" s="123">
        <f t="shared" si="22"/>
        <v>7350</v>
      </c>
      <c r="DJ5" s="2">
        <f t="shared" si="33"/>
        <v>0</v>
      </c>
      <c r="DK5" s="127">
        <f>DK13/12*4</f>
        <v>2600</v>
      </c>
      <c r="DL5" s="2">
        <f t="shared" si="34"/>
        <v>650</v>
      </c>
      <c r="DM5" s="130">
        <f t="shared" si="35"/>
        <v>0</v>
      </c>
      <c r="DN5" s="3">
        <f>DN13/12*4</f>
        <v>1000</v>
      </c>
      <c r="DO5" s="130">
        <f t="shared" si="45"/>
        <v>250</v>
      </c>
      <c r="DP5" s="4">
        <f t="shared" si="36"/>
        <v>0</v>
      </c>
      <c r="DQ5" s="116">
        <f t="shared" si="37"/>
        <v>3750</v>
      </c>
      <c r="DR5" s="116">
        <f>$DQ$13*11.5%</f>
        <v>1150</v>
      </c>
      <c r="DS5" s="196"/>
      <c r="DT5" s="317"/>
    </row>
    <row r="6" spans="1:124" s="1" customFormat="1" ht="14.25" customHeight="1" x14ac:dyDescent="0.15">
      <c r="A6" s="416"/>
      <c r="B6" s="16">
        <v>43497</v>
      </c>
      <c r="C6" s="207">
        <f>'PV-Felder'!$B$3/15.18*11.88</f>
        <v>528.41739130434792</v>
      </c>
      <c r="D6" s="351"/>
      <c r="E6" s="61">
        <v>0</v>
      </c>
      <c r="F6" s="351"/>
      <c r="G6" s="56">
        <f t="shared" ca="1" si="0"/>
        <v>-528.41739130434792</v>
      </c>
      <c r="H6" s="351"/>
      <c r="I6" s="61">
        <v>0</v>
      </c>
      <c r="J6" s="351"/>
      <c r="K6" s="61">
        <v>0</v>
      </c>
      <c r="L6" s="351"/>
      <c r="M6" s="65">
        <f t="shared" si="1"/>
        <v>0</v>
      </c>
      <c r="N6" s="373"/>
      <c r="O6" s="288"/>
      <c r="P6" s="288"/>
      <c r="Q6" s="286">
        <f t="shared" si="2"/>
        <v>0</v>
      </c>
      <c r="R6" s="336"/>
      <c r="S6" s="61">
        <v>0</v>
      </c>
      <c r="T6" s="376"/>
      <c r="U6" s="61">
        <v>0</v>
      </c>
      <c r="V6" s="342"/>
      <c r="W6" s="61">
        <v>0</v>
      </c>
      <c r="X6" s="342"/>
      <c r="Y6" s="211" t="e">
        <f t="shared" si="23"/>
        <v>#N/A</v>
      </c>
      <c r="Z6" s="370"/>
      <c r="AA6" s="61">
        <v>0</v>
      </c>
      <c r="AB6" s="351"/>
      <c r="AC6" s="61">
        <v>0</v>
      </c>
      <c r="AD6" s="351"/>
      <c r="AE6" s="73" t="e">
        <f t="shared" si="38"/>
        <v>#N/A</v>
      </c>
      <c r="AF6" s="356"/>
      <c r="AG6" s="73" t="e">
        <f t="shared" si="3"/>
        <v>#N/A</v>
      </c>
      <c r="AH6" s="356"/>
      <c r="AI6" s="221">
        <f t="shared" si="46"/>
        <v>11.88</v>
      </c>
      <c r="AJ6" s="78">
        <f>AJ5</f>
        <v>0.25750000000000001</v>
      </c>
      <c r="AK6" s="79">
        <f t="shared" si="24"/>
        <v>4.916666666666667</v>
      </c>
      <c r="AL6" s="80">
        <f>AL5-50.25</f>
        <v>100</v>
      </c>
      <c r="AM6" s="78">
        <v>0.1147</v>
      </c>
      <c r="AN6" s="80">
        <f>AN5</f>
        <v>0</v>
      </c>
      <c r="AO6" s="78">
        <f t="shared" si="25"/>
        <v>0.18890000000000001</v>
      </c>
      <c r="AP6" s="88">
        <f>AP5</f>
        <v>9</v>
      </c>
      <c r="AQ6" s="64">
        <f t="shared" si="47"/>
        <v>21.5</v>
      </c>
      <c r="AR6" s="64">
        <f t="shared" si="48"/>
        <v>11.5</v>
      </c>
      <c r="AS6" s="88">
        <f t="shared" ref="AS6:AS68" si="50">AS5</f>
        <v>1.2669999999999999</v>
      </c>
      <c r="AT6" s="91">
        <f t="shared" si="49"/>
        <v>200</v>
      </c>
      <c r="AU6" s="94"/>
      <c r="AV6" s="95"/>
      <c r="AW6" s="56">
        <f t="shared" si="4"/>
        <v>0</v>
      </c>
      <c r="AX6" s="351"/>
      <c r="AY6" s="100">
        <f>(AA6*AJ6+AK6)-((AC6-62.01)*AM6)</f>
        <v>12.029213666666667</v>
      </c>
      <c r="AZ6" s="360"/>
      <c r="BA6" s="91">
        <f t="shared" si="39"/>
        <v>-39.862547000000006</v>
      </c>
      <c r="BB6" s="5">
        <f t="shared" si="5"/>
        <v>-12.029213666666667</v>
      </c>
      <c r="BC6" s="363"/>
      <c r="BD6" s="91">
        <f t="shared" ca="1" si="6"/>
        <v>12.029213666666667</v>
      </c>
      <c r="BE6" s="91">
        <f t="shared" ca="1" si="7"/>
        <v>212.02921366666666</v>
      </c>
      <c r="BF6" s="91">
        <f t="shared" si="8"/>
        <v>18.833333333333336</v>
      </c>
      <c r="BG6" s="91">
        <f t="shared" ca="1" si="9"/>
        <v>6.8041196666666686</v>
      </c>
      <c r="BH6" s="91">
        <f t="shared" ca="1" si="10"/>
        <v>-193.19588033333332</v>
      </c>
      <c r="BI6" s="10">
        <f t="shared" ca="1" si="40"/>
        <v>212.02921366666666</v>
      </c>
      <c r="BJ6" s="104">
        <f>((M6+Q6)*AJ6+AK6)+((U6-W6+W6/('Vergleich Holz Strom'!$B$8-0.6))*AO6+AP6)</f>
        <v>13.916666666666668</v>
      </c>
      <c r="BK6" s="10">
        <f t="shared" ca="1" si="11"/>
        <v>-198.11254700000001</v>
      </c>
      <c r="BL6" s="379"/>
      <c r="BM6" s="104">
        <f t="shared" ca="1" si="27"/>
        <v>-998.11254699999995</v>
      </c>
      <c r="BN6" s="40">
        <f ca="1">IF(ISNUMBER(BK6),BN5+SUMIF(BK2:BK13,"&lt;&gt;#NV",BK2:BK13)/(COUNTIF(BK2:BK13,"&lt;&gt;#NV")-1),#N/A)</f>
        <v>-849.13183527272713</v>
      </c>
      <c r="BO6" s="10">
        <f t="shared" ca="1" si="28"/>
        <v>1.8874529999999936</v>
      </c>
      <c r="BP6" s="104">
        <f t="shared" ca="1" si="29"/>
        <v>-45405.752546999996</v>
      </c>
      <c r="BQ6" s="104">
        <f t="shared" ca="1" si="41"/>
        <v>-45405.752546999996</v>
      </c>
      <c r="BR6" s="10">
        <f t="shared" si="12"/>
        <v>4.916666666666667</v>
      </c>
      <c r="BS6" s="311"/>
      <c r="BT6" s="307"/>
      <c r="BU6" s="295">
        <f t="shared" si="13"/>
        <v>0</v>
      </c>
      <c r="BV6" s="323"/>
      <c r="BW6" s="299">
        <f t="shared" si="14"/>
        <v>0</v>
      </c>
      <c r="BX6" s="295">
        <f t="shared" si="15"/>
        <v>0</v>
      </c>
      <c r="BY6" s="414"/>
      <c r="BZ6" s="299">
        <f t="shared" si="30"/>
        <v>0</v>
      </c>
      <c r="CA6" s="295">
        <f t="shared" si="42"/>
        <v>0</v>
      </c>
      <c r="CB6" s="323"/>
      <c r="CC6" s="314">
        <f t="shared" si="43"/>
        <v>0</v>
      </c>
      <c r="CD6" s="339"/>
      <c r="CE6" s="299">
        <f t="shared" si="17"/>
        <v>0</v>
      </c>
      <c r="CF6" s="284">
        <f t="shared" si="44"/>
        <v>0</v>
      </c>
      <c r="CG6" s="323"/>
      <c r="CH6" s="302">
        <f t="shared" si="31"/>
        <v>0</v>
      </c>
      <c r="CI6" s="108">
        <f t="shared" si="19"/>
        <v>0</v>
      </c>
      <c r="CJ6" s="200">
        <f t="shared" si="20"/>
        <v>0</v>
      </c>
      <c r="CK6" s="197">
        <f t="shared" ref="CK6:CK69" si="51">U6*AM6</f>
        <v>0</v>
      </c>
      <c r="CL6" s="203">
        <f t="shared" si="21"/>
        <v>9</v>
      </c>
      <c r="CM6" s="4">
        <f>U6*Jahresdaten!$AD$2</f>
        <v>0</v>
      </c>
      <c r="CN6" s="112">
        <f>CJ6*Jahresdaten!$AD$2</f>
        <v>0</v>
      </c>
      <c r="CO6" s="366"/>
      <c r="CP6" s="116">
        <f>U6*Jahresdaten!$AD$3</f>
        <v>0</v>
      </c>
      <c r="CQ6" s="12">
        <f>CJ6*Jahresdaten!$AD$3</f>
        <v>0</v>
      </c>
      <c r="CR6" s="353"/>
      <c r="CS6" s="14"/>
      <c r="CT6" s="136"/>
      <c r="CU6" s="140" t="str">
        <f>IF(CT6=0,"",CT6*'Vergleich Holz Strom'!$B$2)</f>
        <v/>
      </c>
      <c r="CV6" s="353"/>
      <c r="CW6" s="366"/>
      <c r="CX6" s="345"/>
      <c r="CY6" s="345"/>
      <c r="CZ6" s="345"/>
      <c r="DA6" s="348"/>
      <c r="DB6" s="94"/>
      <c r="DC6" s="88">
        <f>DC5+AL6-(AA6*AJ6+AK6)-DB6</f>
        <v>263.928</v>
      </c>
      <c r="DD6" s="94"/>
      <c r="DE6" s="88">
        <f>DE5+((AC6-62.01)*AM6-AN6)-DD6</f>
        <v>-7.1125469999999993</v>
      </c>
      <c r="DF6" s="100">
        <f ca="1">BE6+(SUM(CS2:CS13)/12)</f>
        <v>325.36254700000001</v>
      </c>
      <c r="DG6" s="351"/>
      <c r="DH6" s="8">
        <f t="shared" si="32"/>
        <v>0</v>
      </c>
      <c r="DI6" s="123">
        <f t="shared" si="22"/>
        <v>9600</v>
      </c>
      <c r="DJ6" s="2">
        <f t="shared" si="33"/>
        <v>0</v>
      </c>
      <c r="DK6" s="127">
        <f>DK13/12*5</f>
        <v>3250</v>
      </c>
      <c r="DL6" s="2">
        <f t="shared" si="34"/>
        <v>650</v>
      </c>
      <c r="DM6" s="130">
        <f t="shared" si="35"/>
        <v>0</v>
      </c>
      <c r="DN6" s="3">
        <f>DN13/12*5</f>
        <v>1250</v>
      </c>
      <c r="DO6" s="130">
        <f t="shared" si="45"/>
        <v>250</v>
      </c>
      <c r="DP6" s="4">
        <f t="shared" si="36"/>
        <v>0</v>
      </c>
      <c r="DQ6" s="116">
        <f t="shared" si="37"/>
        <v>5100</v>
      </c>
      <c r="DR6" s="116">
        <f>$DQ$13*13.5%</f>
        <v>1350</v>
      </c>
      <c r="DS6" s="196"/>
      <c r="DT6" s="317"/>
    </row>
    <row r="7" spans="1:124" s="1" customFormat="1" ht="14.25" customHeight="1" x14ac:dyDescent="0.15">
      <c r="A7" s="416"/>
      <c r="B7" s="16">
        <v>43525</v>
      </c>
      <c r="C7" s="207">
        <f>'PV-Felder'!$B$4/15.18*11.88</f>
        <v>1025.6869565217391</v>
      </c>
      <c r="D7" s="351"/>
      <c r="E7" s="61">
        <v>0</v>
      </c>
      <c r="F7" s="351"/>
      <c r="G7" s="56">
        <f t="shared" ca="1" si="0"/>
        <v>-1025.6869565217391</v>
      </c>
      <c r="H7" s="351"/>
      <c r="I7" s="61">
        <v>0</v>
      </c>
      <c r="J7" s="351"/>
      <c r="K7" s="61">
        <v>0</v>
      </c>
      <c r="L7" s="351"/>
      <c r="M7" s="65">
        <f t="shared" si="1"/>
        <v>0</v>
      </c>
      <c r="N7" s="373"/>
      <c r="O7" s="288"/>
      <c r="P7" s="288"/>
      <c r="Q7" s="286">
        <f t="shared" si="2"/>
        <v>0</v>
      </c>
      <c r="R7" s="336"/>
      <c r="S7" s="61">
        <v>0</v>
      </c>
      <c r="T7" s="376"/>
      <c r="U7" s="61">
        <v>0</v>
      </c>
      <c r="V7" s="342"/>
      <c r="W7" s="61">
        <v>0</v>
      </c>
      <c r="X7" s="342"/>
      <c r="Y7" s="211" t="e">
        <f t="shared" si="23"/>
        <v>#N/A</v>
      </c>
      <c r="Z7" s="370"/>
      <c r="AA7" s="61">
        <v>0</v>
      </c>
      <c r="AB7" s="351"/>
      <c r="AC7" s="61">
        <v>0</v>
      </c>
      <c r="AD7" s="351"/>
      <c r="AE7" s="73" t="e">
        <f t="shared" si="38"/>
        <v>#N/A</v>
      </c>
      <c r="AF7" s="356"/>
      <c r="AG7" s="73" t="e">
        <f t="shared" si="3"/>
        <v>#N/A</v>
      </c>
      <c r="AH7" s="356"/>
      <c r="AI7" s="221">
        <f t="shared" si="46"/>
        <v>11.88</v>
      </c>
      <c r="AJ7" s="78">
        <v>0.26750000000000002</v>
      </c>
      <c r="AK7" s="79">
        <f t="shared" si="24"/>
        <v>4.916666666666667</v>
      </c>
      <c r="AL7" s="80">
        <f t="shared" si="24"/>
        <v>100</v>
      </c>
      <c r="AM7" s="78">
        <f>AM6</f>
        <v>0.1147</v>
      </c>
      <c r="AN7" s="80">
        <v>74</v>
      </c>
      <c r="AO7" s="78">
        <f t="shared" si="25"/>
        <v>0.18890000000000001</v>
      </c>
      <c r="AP7" s="88">
        <f>AP6</f>
        <v>9</v>
      </c>
      <c r="AQ7" s="64">
        <f t="shared" si="47"/>
        <v>21.5</v>
      </c>
      <c r="AR7" s="64">
        <f t="shared" si="48"/>
        <v>11.5</v>
      </c>
      <c r="AS7" s="88">
        <f t="shared" si="50"/>
        <v>1.2669999999999999</v>
      </c>
      <c r="AT7" s="91">
        <f t="shared" si="49"/>
        <v>200</v>
      </c>
      <c r="AU7" s="94"/>
      <c r="AV7" s="95"/>
      <c r="AW7" s="56">
        <f t="shared" si="4"/>
        <v>0</v>
      </c>
      <c r="AX7" s="351"/>
      <c r="AY7" s="100">
        <f t="shared" ref="AY7:AY70" si="52">(AA7*AJ7+AK7)-(AC7*AM7)</f>
        <v>4.916666666666667</v>
      </c>
      <c r="AZ7" s="360"/>
      <c r="BA7" s="91">
        <f t="shared" si="39"/>
        <v>-44.779213666666671</v>
      </c>
      <c r="BB7" s="5">
        <f t="shared" si="5"/>
        <v>-4.916666666666667</v>
      </c>
      <c r="BC7" s="363"/>
      <c r="BD7" s="91">
        <f t="shared" ca="1" si="6"/>
        <v>4.916666666666667</v>
      </c>
      <c r="BE7" s="91">
        <f t="shared" ca="1" si="7"/>
        <v>204.91666666666666</v>
      </c>
      <c r="BF7" s="91">
        <f t="shared" si="8"/>
        <v>18.833333333333336</v>
      </c>
      <c r="BG7" s="91">
        <f t="shared" ca="1" si="9"/>
        <v>13.916666666666668</v>
      </c>
      <c r="BH7" s="91">
        <f t="shared" ca="1" si="10"/>
        <v>-186.08333333333331</v>
      </c>
      <c r="BI7" s="10">
        <f t="shared" ca="1" si="40"/>
        <v>204.91666666666666</v>
      </c>
      <c r="BJ7" s="104">
        <f>((M7+Q7)*AJ7+AK7)+((U7-W7+W7/('Vergleich Holz Strom'!$B$8-0.6))*AO7+AP7)</f>
        <v>13.916666666666668</v>
      </c>
      <c r="BK7" s="10">
        <f t="shared" ca="1" si="11"/>
        <v>-191</v>
      </c>
      <c r="BL7" s="379"/>
      <c r="BM7" s="104">
        <f t="shared" ca="1" si="27"/>
        <v>-1189.1125469999999</v>
      </c>
      <c r="BN7" s="40">
        <f ca="1">IF(ISNUMBER(BK7),BN6+SUMIF(BK2:BK13,"&lt;&gt;#NV",BK2:BK13)/(COUNTIF(BK2:BK13,"&lt;&gt;#NV")-1),#N/A)</f>
        <v>-1061.4147940909088</v>
      </c>
      <c r="BO7" s="10">
        <f t="shared" ca="1" si="28"/>
        <v>9</v>
      </c>
      <c r="BP7" s="104">
        <f t="shared" ca="1" si="29"/>
        <v>-45396.752546999996</v>
      </c>
      <c r="BQ7" s="104">
        <f t="shared" ca="1" si="41"/>
        <v>-45396.752546999996</v>
      </c>
      <c r="BR7" s="10">
        <f t="shared" si="12"/>
        <v>4.916666666666667</v>
      </c>
      <c r="BS7" s="311"/>
      <c r="BT7" s="307"/>
      <c r="BU7" s="295">
        <f t="shared" si="13"/>
        <v>0</v>
      </c>
      <c r="BV7" s="323"/>
      <c r="BW7" s="299">
        <f t="shared" si="14"/>
        <v>0</v>
      </c>
      <c r="BX7" s="295">
        <f t="shared" si="15"/>
        <v>0</v>
      </c>
      <c r="BY7" s="414"/>
      <c r="BZ7" s="299">
        <f t="shared" si="30"/>
        <v>0</v>
      </c>
      <c r="CA7" s="295">
        <f t="shared" si="42"/>
        <v>0</v>
      </c>
      <c r="CB7" s="323"/>
      <c r="CC7" s="314">
        <f t="shared" si="43"/>
        <v>0</v>
      </c>
      <c r="CD7" s="339"/>
      <c r="CE7" s="299">
        <f t="shared" si="17"/>
        <v>0</v>
      </c>
      <c r="CF7" s="284">
        <f t="shared" si="44"/>
        <v>0</v>
      </c>
      <c r="CG7" s="323"/>
      <c r="CH7" s="302">
        <f t="shared" si="31"/>
        <v>0</v>
      </c>
      <c r="CI7" s="108">
        <f t="shared" si="19"/>
        <v>0</v>
      </c>
      <c r="CJ7" s="200">
        <f t="shared" si="20"/>
        <v>0</v>
      </c>
      <c r="CK7" s="197">
        <f t="shared" si="51"/>
        <v>0</v>
      </c>
      <c r="CL7" s="203">
        <f t="shared" si="21"/>
        <v>9</v>
      </c>
      <c r="CM7" s="4">
        <f>U7*Jahresdaten!$AD$2</f>
        <v>0</v>
      </c>
      <c r="CN7" s="112">
        <f>CJ7*Jahresdaten!$AD$2</f>
        <v>0</v>
      </c>
      <c r="CO7" s="366"/>
      <c r="CP7" s="116">
        <f>U7*Jahresdaten!$AD$3</f>
        <v>0</v>
      </c>
      <c r="CQ7" s="12">
        <f>CJ7*Jahresdaten!$AD$3</f>
        <v>0</v>
      </c>
      <c r="CR7" s="353"/>
      <c r="CS7" s="14"/>
      <c r="CT7" s="136"/>
      <c r="CU7" s="140" t="str">
        <f>IF(CT7=0,"",CT7*'Vergleich Holz Strom'!$B$2)</f>
        <v/>
      </c>
      <c r="CV7" s="353"/>
      <c r="CW7" s="366"/>
      <c r="CX7" s="345"/>
      <c r="CY7" s="345"/>
      <c r="CZ7" s="345"/>
      <c r="DA7" s="348"/>
      <c r="DB7" s="94"/>
      <c r="DC7" s="88">
        <f t="shared" ref="DC7:DC70" si="53">DC6+AL7-(AA7*AJ7+AK7)-DB7</f>
        <v>359.01133333333331</v>
      </c>
      <c r="DD7" s="94"/>
      <c r="DE7" s="88">
        <f>DE6+(AC7*AM7-AN7)-DD7</f>
        <v>-81.112547000000006</v>
      </c>
      <c r="DF7" s="100">
        <f ca="1">BE7+(SUM(CS2:CS13)/12)</f>
        <v>318.25</v>
      </c>
      <c r="DG7" s="351"/>
      <c r="DH7" s="8">
        <f t="shared" si="32"/>
        <v>0</v>
      </c>
      <c r="DI7" s="123">
        <f t="shared" si="22"/>
        <v>11850</v>
      </c>
      <c r="DJ7" s="2">
        <f t="shared" si="33"/>
        <v>0</v>
      </c>
      <c r="DK7" s="127">
        <f>DK13/12*6</f>
        <v>3900</v>
      </c>
      <c r="DL7" s="2">
        <f t="shared" si="34"/>
        <v>650</v>
      </c>
      <c r="DM7" s="130">
        <f t="shared" si="35"/>
        <v>0</v>
      </c>
      <c r="DN7" s="3">
        <f>DN13/12*6</f>
        <v>1500</v>
      </c>
      <c r="DO7" s="130">
        <f t="shared" si="45"/>
        <v>250</v>
      </c>
      <c r="DP7" s="4">
        <f t="shared" si="36"/>
        <v>0</v>
      </c>
      <c r="DQ7" s="116">
        <f t="shared" si="37"/>
        <v>6450</v>
      </c>
      <c r="DR7" s="116">
        <f>$DQ$13*13.5%</f>
        <v>1350</v>
      </c>
      <c r="DS7" s="196"/>
      <c r="DT7" s="317"/>
    </row>
    <row r="8" spans="1:124" s="1" customFormat="1" ht="15" customHeight="1" x14ac:dyDescent="0.15">
      <c r="A8" s="416"/>
      <c r="B8" s="16">
        <v>43556</v>
      </c>
      <c r="C8" s="207">
        <f>'PV-Felder'!$B$5/15.18*11.88</f>
        <v>1428.2608695652175</v>
      </c>
      <c r="D8" s="351"/>
      <c r="E8" s="61">
        <v>0</v>
      </c>
      <c r="F8" s="351"/>
      <c r="G8" s="56">
        <f t="shared" ca="1" si="0"/>
        <v>-1428.2608695652175</v>
      </c>
      <c r="H8" s="351"/>
      <c r="I8" s="61">
        <v>0</v>
      </c>
      <c r="J8" s="351"/>
      <c r="K8" s="61">
        <v>0</v>
      </c>
      <c r="L8" s="351"/>
      <c r="M8" s="65">
        <f t="shared" si="1"/>
        <v>0</v>
      </c>
      <c r="N8" s="373"/>
      <c r="O8" s="288"/>
      <c r="P8" s="288"/>
      <c r="Q8" s="286">
        <f t="shared" si="2"/>
        <v>0</v>
      </c>
      <c r="R8" s="336"/>
      <c r="S8" s="61">
        <v>0</v>
      </c>
      <c r="T8" s="376"/>
      <c r="U8" s="61">
        <v>0</v>
      </c>
      <c r="V8" s="342"/>
      <c r="W8" s="61">
        <v>0</v>
      </c>
      <c r="X8" s="342"/>
      <c r="Y8" s="211" t="e">
        <f t="shared" si="23"/>
        <v>#N/A</v>
      </c>
      <c r="Z8" s="370"/>
      <c r="AA8" s="61">
        <v>0</v>
      </c>
      <c r="AB8" s="351"/>
      <c r="AC8" s="61">
        <v>0</v>
      </c>
      <c r="AD8" s="351"/>
      <c r="AE8" s="73" t="e">
        <f t="shared" si="38"/>
        <v>#N/A</v>
      </c>
      <c r="AF8" s="356"/>
      <c r="AG8" s="73" t="e">
        <f t="shared" si="3"/>
        <v>#N/A</v>
      </c>
      <c r="AH8" s="356"/>
      <c r="AI8" s="221">
        <f t="shared" si="46"/>
        <v>11.88</v>
      </c>
      <c r="AJ8" s="78">
        <f t="shared" ref="AJ8:AJ13" si="54">AJ7</f>
        <v>0.26750000000000002</v>
      </c>
      <c r="AK8" s="79">
        <f t="shared" si="24"/>
        <v>4.916666666666667</v>
      </c>
      <c r="AL8" s="80">
        <f t="shared" si="24"/>
        <v>100</v>
      </c>
      <c r="AM8" s="78">
        <f t="shared" si="24"/>
        <v>0.1147</v>
      </c>
      <c r="AN8" s="80">
        <f t="shared" ref="AN8:AP50" si="55">AN7</f>
        <v>74</v>
      </c>
      <c r="AO8" s="78">
        <f t="shared" si="25"/>
        <v>0.18890000000000001</v>
      </c>
      <c r="AP8" s="88">
        <f>AP7</f>
        <v>9</v>
      </c>
      <c r="AQ8" s="64">
        <f t="shared" si="47"/>
        <v>21.5</v>
      </c>
      <c r="AR8" s="64">
        <f t="shared" si="48"/>
        <v>11.5</v>
      </c>
      <c r="AS8" s="88">
        <f t="shared" si="50"/>
        <v>1.2669999999999999</v>
      </c>
      <c r="AT8" s="91">
        <f t="shared" si="49"/>
        <v>200</v>
      </c>
      <c r="AU8" s="94"/>
      <c r="AV8" s="95"/>
      <c r="AW8" s="56">
        <f t="shared" si="4"/>
        <v>0</v>
      </c>
      <c r="AX8" s="351"/>
      <c r="AY8" s="100">
        <f t="shared" si="52"/>
        <v>4.916666666666667</v>
      </c>
      <c r="AZ8" s="360"/>
      <c r="BA8" s="91">
        <f t="shared" si="39"/>
        <v>-49.695880333333335</v>
      </c>
      <c r="BB8" s="5">
        <f t="shared" si="5"/>
        <v>-4.916666666666667</v>
      </c>
      <c r="BC8" s="363"/>
      <c r="BD8" s="91">
        <f t="shared" ca="1" si="6"/>
        <v>4.916666666666667</v>
      </c>
      <c r="BE8" s="91">
        <f t="shared" ca="1" si="7"/>
        <v>204.91666666666666</v>
      </c>
      <c r="BF8" s="91">
        <f t="shared" si="8"/>
        <v>18.833333333333336</v>
      </c>
      <c r="BG8" s="91">
        <f t="shared" ca="1" si="9"/>
        <v>13.916666666666668</v>
      </c>
      <c r="BH8" s="91">
        <f t="shared" ca="1" si="10"/>
        <v>-186.08333333333331</v>
      </c>
      <c r="BI8" s="10">
        <f t="shared" ca="1" si="40"/>
        <v>204.91666666666666</v>
      </c>
      <c r="BJ8" s="104">
        <f>((M8+Q8)*AJ8+AK8)+((U8-W8+W8/('Vergleich Holz Strom'!$B$8-0.6))*AO8+AP8)</f>
        <v>13.916666666666668</v>
      </c>
      <c r="BK8" s="10">
        <f t="shared" ca="1" si="11"/>
        <v>-191</v>
      </c>
      <c r="BL8" s="379"/>
      <c r="BM8" s="104">
        <f t="shared" ca="1" si="27"/>
        <v>-1380.1125469999999</v>
      </c>
      <c r="BN8" s="40">
        <f ca="1">IF(ISNUMBER(BK8),BN7+SUMIF(BK2:BK13,"&lt;&gt;#NV",BK2:BK13)/(COUNTIF(BK2:BK13,"&lt;&gt;#NV")-1),#N/A)</f>
        <v>-1273.6977529090905</v>
      </c>
      <c r="BO8" s="10">
        <f t="shared" ca="1" si="28"/>
        <v>9</v>
      </c>
      <c r="BP8" s="104">
        <f t="shared" ca="1" si="29"/>
        <v>-45387.752546999996</v>
      </c>
      <c r="BQ8" s="104">
        <f t="shared" ca="1" si="41"/>
        <v>-45387.752546999996</v>
      </c>
      <c r="BR8" s="10">
        <f t="shared" si="12"/>
        <v>4.916666666666667</v>
      </c>
      <c r="BS8" s="311"/>
      <c r="BT8" s="307"/>
      <c r="BU8" s="295">
        <f t="shared" si="13"/>
        <v>0</v>
      </c>
      <c r="BV8" s="323"/>
      <c r="BW8" s="299">
        <f t="shared" si="14"/>
        <v>0</v>
      </c>
      <c r="BX8" s="295">
        <f t="shared" si="15"/>
        <v>0</v>
      </c>
      <c r="BY8" s="414"/>
      <c r="BZ8" s="299">
        <f t="shared" si="30"/>
        <v>0</v>
      </c>
      <c r="CA8" s="295">
        <f t="shared" si="42"/>
        <v>0</v>
      </c>
      <c r="CB8" s="323"/>
      <c r="CC8" s="314">
        <f t="shared" si="43"/>
        <v>0</v>
      </c>
      <c r="CD8" s="339"/>
      <c r="CE8" s="299">
        <f t="shared" si="17"/>
        <v>0</v>
      </c>
      <c r="CF8" s="284">
        <f t="shared" si="44"/>
        <v>0</v>
      </c>
      <c r="CG8" s="323"/>
      <c r="CH8" s="302">
        <f t="shared" si="31"/>
        <v>0</v>
      </c>
      <c r="CI8" s="108">
        <f t="shared" si="19"/>
        <v>0</v>
      </c>
      <c r="CJ8" s="200">
        <f t="shared" si="20"/>
        <v>0</v>
      </c>
      <c r="CK8" s="197">
        <f t="shared" si="51"/>
        <v>0</v>
      </c>
      <c r="CL8" s="203">
        <f t="shared" si="21"/>
        <v>9</v>
      </c>
      <c r="CM8" s="4">
        <f>U8*Jahresdaten!$AD$2</f>
        <v>0</v>
      </c>
      <c r="CN8" s="112">
        <f>CJ8*Jahresdaten!$AD$2</f>
        <v>0</v>
      </c>
      <c r="CO8" s="366"/>
      <c r="CP8" s="116">
        <f>U8*Jahresdaten!$AD$3</f>
        <v>0</v>
      </c>
      <c r="CQ8" s="12">
        <f>CJ8*Jahresdaten!$AD$3</f>
        <v>0</v>
      </c>
      <c r="CR8" s="353"/>
      <c r="CS8" s="14"/>
      <c r="CT8" s="136"/>
      <c r="CU8" s="140" t="str">
        <f>IF(CT8=0,"",CT8*'Vergleich Holz Strom'!$B$2)</f>
        <v/>
      </c>
      <c r="CV8" s="121" t="s">
        <v>6</v>
      </c>
      <c r="CW8" s="366"/>
      <c r="CX8" s="345"/>
      <c r="CY8" s="345"/>
      <c r="CZ8" s="345"/>
      <c r="DA8" s="348"/>
      <c r="DB8" s="94"/>
      <c r="DC8" s="88">
        <f t="shared" si="53"/>
        <v>454.09466666666663</v>
      </c>
      <c r="DD8" s="94"/>
      <c r="DE8" s="88">
        <f t="shared" ref="DE8:DE71" si="56">DE7+(AC8*AM8-AN8)-DD8</f>
        <v>-155.11254700000001</v>
      </c>
      <c r="DF8" s="100">
        <f ca="1">BE8+(SUM(CS2:CS13)/12)</f>
        <v>318.25</v>
      </c>
      <c r="DG8" s="351"/>
      <c r="DH8" s="8">
        <f t="shared" si="32"/>
        <v>0</v>
      </c>
      <c r="DI8" s="123">
        <f t="shared" si="22"/>
        <v>14000</v>
      </c>
      <c r="DJ8" s="2">
        <f t="shared" si="33"/>
        <v>0</v>
      </c>
      <c r="DK8" s="127">
        <f>DK13/12*7</f>
        <v>4550</v>
      </c>
      <c r="DL8" s="2">
        <f t="shared" si="34"/>
        <v>650</v>
      </c>
      <c r="DM8" s="130">
        <f t="shared" si="35"/>
        <v>0</v>
      </c>
      <c r="DN8" s="3">
        <f>DN13/12*7</f>
        <v>1750</v>
      </c>
      <c r="DO8" s="130">
        <f t="shared" si="45"/>
        <v>250</v>
      </c>
      <c r="DP8" s="4">
        <f t="shared" si="36"/>
        <v>0</v>
      </c>
      <c r="DQ8" s="116">
        <f t="shared" si="37"/>
        <v>7700</v>
      </c>
      <c r="DR8" s="116">
        <f>$DQ$13*12.5%</f>
        <v>1250</v>
      </c>
      <c r="DS8" s="196"/>
      <c r="DT8" s="317"/>
    </row>
    <row r="9" spans="1:124" s="1" customFormat="1" ht="14.25" customHeight="1" x14ac:dyDescent="0.15">
      <c r="A9" s="416"/>
      <c r="B9" s="16">
        <v>43586</v>
      </c>
      <c r="C9" s="207">
        <f>'PV-Felder'!$B$6/15.18*11.88</f>
        <v>1527.7304347826089</v>
      </c>
      <c r="D9" s="351"/>
      <c r="E9" s="61">
        <v>0</v>
      </c>
      <c r="F9" s="351"/>
      <c r="G9" s="56">
        <f t="shared" ca="1" si="0"/>
        <v>-1527.7304347826089</v>
      </c>
      <c r="H9" s="351"/>
      <c r="I9" s="61">
        <v>0</v>
      </c>
      <c r="J9" s="351"/>
      <c r="K9" s="61">
        <v>0</v>
      </c>
      <c r="L9" s="351"/>
      <c r="M9" s="65">
        <f t="shared" si="1"/>
        <v>0</v>
      </c>
      <c r="N9" s="373"/>
      <c r="O9" s="288"/>
      <c r="P9" s="288"/>
      <c r="Q9" s="286">
        <f t="shared" si="2"/>
        <v>0</v>
      </c>
      <c r="R9" s="336"/>
      <c r="S9" s="61">
        <v>0</v>
      </c>
      <c r="T9" s="376"/>
      <c r="U9" s="61">
        <v>0</v>
      </c>
      <c r="V9" s="342"/>
      <c r="W9" s="61">
        <v>0</v>
      </c>
      <c r="X9" s="342"/>
      <c r="Y9" s="211" t="e">
        <f t="shared" si="23"/>
        <v>#N/A</v>
      </c>
      <c r="Z9" s="370"/>
      <c r="AA9" s="61">
        <v>0</v>
      </c>
      <c r="AB9" s="351"/>
      <c r="AC9" s="61">
        <v>0</v>
      </c>
      <c r="AD9" s="351"/>
      <c r="AE9" s="73" t="e">
        <f t="shared" si="38"/>
        <v>#N/A</v>
      </c>
      <c r="AF9" s="356"/>
      <c r="AG9" s="73" t="e">
        <f t="shared" si="3"/>
        <v>#N/A</v>
      </c>
      <c r="AH9" s="356"/>
      <c r="AI9" s="221">
        <f t="shared" si="46"/>
        <v>11.88</v>
      </c>
      <c r="AJ9" s="78">
        <f t="shared" si="54"/>
        <v>0.26750000000000002</v>
      </c>
      <c r="AK9" s="79">
        <f t="shared" si="24"/>
        <v>4.916666666666667</v>
      </c>
      <c r="AL9" s="80">
        <f t="shared" si="24"/>
        <v>100</v>
      </c>
      <c r="AM9" s="78">
        <f t="shared" si="24"/>
        <v>0.1147</v>
      </c>
      <c r="AN9" s="80">
        <f t="shared" si="55"/>
        <v>74</v>
      </c>
      <c r="AO9" s="78">
        <f t="shared" si="25"/>
        <v>0.18890000000000001</v>
      </c>
      <c r="AP9" s="88">
        <f t="shared" si="25"/>
        <v>9</v>
      </c>
      <c r="AQ9" s="64">
        <f t="shared" si="47"/>
        <v>21.5</v>
      </c>
      <c r="AR9" s="64">
        <f t="shared" si="48"/>
        <v>11.5</v>
      </c>
      <c r="AS9" s="88">
        <f t="shared" si="50"/>
        <v>1.2669999999999999</v>
      </c>
      <c r="AT9" s="91">
        <f t="shared" si="49"/>
        <v>200</v>
      </c>
      <c r="AU9" s="94"/>
      <c r="AV9" s="95"/>
      <c r="AW9" s="56">
        <f t="shared" si="4"/>
        <v>0</v>
      </c>
      <c r="AX9" s="351"/>
      <c r="AY9" s="100">
        <f t="shared" si="52"/>
        <v>4.916666666666667</v>
      </c>
      <c r="AZ9" s="360"/>
      <c r="BA9" s="91">
        <f t="shared" si="39"/>
        <v>-54.612546999999999</v>
      </c>
      <c r="BB9" s="5">
        <f t="shared" si="5"/>
        <v>-4.916666666666667</v>
      </c>
      <c r="BC9" s="363"/>
      <c r="BD9" s="91">
        <f t="shared" ca="1" si="6"/>
        <v>4.916666666666667</v>
      </c>
      <c r="BE9" s="91">
        <f t="shared" ca="1" si="7"/>
        <v>204.91666666666666</v>
      </c>
      <c r="BF9" s="91">
        <f t="shared" si="8"/>
        <v>18.833333333333336</v>
      </c>
      <c r="BG9" s="91">
        <f t="shared" ca="1" si="9"/>
        <v>13.916666666666668</v>
      </c>
      <c r="BH9" s="91">
        <f t="shared" ca="1" si="10"/>
        <v>-186.08333333333331</v>
      </c>
      <c r="BI9" s="10">
        <f t="shared" ca="1" si="40"/>
        <v>204.91666666666666</v>
      </c>
      <c r="BJ9" s="104">
        <f>((M9+Q9)*AJ9+AK9)+((U9-W9+W9/('Vergleich Holz Strom'!$B$8-0.6))*AO9+AP9)</f>
        <v>13.916666666666668</v>
      </c>
      <c r="BK9" s="10">
        <f t="shared" ca="1" si="11"/>
        <v>-191</v>
      </c>
      <c r="BL9" s="379"/>
      <c r="BM9" s="104">
        <f t="shared" ca="1" si="27"/>
        <v>-1571.1125469999999</v>
      </c>
      <c r="BN9" s="40">
        <f ca="1">IF(ISNUMBER(BK9),BN8+SUMIF(BK2:BK13,"&lt;&gt;#NV",BK2:BK13)/(COUNTIF(BK2:BK13,"&lt;&gt;#NV")-1),#N/A)</f>
        <v>-1485.9807117272721</v>
      </c>
      <c r="BO9" s="10">
        <f t="shared" ca="1" si="28"/>
        <v>9</v>
      </c>
      <c r="BP9" s="104">
        <f t="shared" ca="1" si="29"/>
        <v>-45378.752546999996</v>
      </c>
      <c r="BQ9" s="104">
        <f t="shared" ca="1" si="41"/>
        <v>-45378.752546999996</v>
      </c>
      <c r="BR9" s="10">
        <f t="shared" si="12"/>
        <v>4.916666666666667</v>
      </c>
      <c r="BS9" s="311"/>
      <c r="BT9" s="307"/>
      <c r="BU9" s="295">
        <f t="shared" si="13"/>
        <v>0</v>
      </c>
      <c r="BV9" s="323"/>
      <c r="BW9" s="299">
        <f t="shared" si="14"/>
        <v>0</v>
      </c>
      <c r="BX9" s="295">
        <f t="shared" si="15"/>
        <v>0</v>
      </c>
      <c r="BY9" s="414"/>
      <c r="BZ9" s="299">
        <f t="shared" si="30"/>
        <v>0</v>
      </c>
      <c r="CA9" s="295">
        <f t="shared" si="42"/>
        <v>0</v>
      </c>
      <c r="CB9" s="323"/>
      <c r="CC9" s="314">
        <f t="shared" si="43"/>
        <v>0</v>
      </c>
      <c r="CD9" s="339"/>
      <c r="CE9" s="299">
        <f t="shared" si="17"/>
        <v>0</v>
      </c>
      <c r="CF9" s="284">
        <f t="shared" si="44"/>
        <v>0</v>
      </c>
      <c r="CG9" s="323"/>
      <c r="CH9" s="302">
        <f t="shared" si="31"/>
        <v>0</v>
      </c>
      <c r="CI9" s="108">
        <f t="shared" si="19"/>
        <v>0</v>
      </c>
      <c r="CJ9" s="200">
        <f t="shared" si="20"/>
        <v>0</v>
      </c>
      <c r="CK9" s="197">
        <f t="shared" si="51"/>
        <v>0</v>
      </c>
      <c r="CL9" s="203">
        <f t="shared" si="21"/>
        <v>9</v>
      </c>
      <c r="CM9" s="4">
        <f>U9*Jahresdaten!$AD$2</f>
        <v>0</v>
      </c>
      <c r="CN9" s="112">
        <f>CJ9*Jahresdaten!$AD$2</f>
        <v>0</v>
      </c>
      <c r="CO9" s="366"/>
      <c r="CP9" s="116">
        <f>U9*Jahresdaten!$AD$3</f>
        <v>0</v>
      </c>
      <c r="CQ9" s="12">
        <f>CJ9*Jahresdaten!$AD$3</f>
        <v>0</v>
      </c>
      <c r="CR9" s="353"/>
      <c r="CS9" s="14"/>
      <c r="CT9" s="136"/>
      <c r="CU9" s="140" t="str">
        <f>IF(CT9=0,"",CT9*'Vergleich Holz Strom'!$B$2)</f>
        <v/>
      </c>
      <c r="CV9" s="353">
        <f>SUM(CS2:CS13)</f>
        <v>1360</v>
      </c>
      <c r="CW9" s="366"/>
      <c r="CX9" s="345"/>
      <c r="CY9" s="345"/>
      <c r="CZ9" s="345"/>
      <c r="DA9" s="348"/>
      <c r="DB9" s="94"/>
      <c r="DC9" s="88">
        <f t="shared" si="53"/>
        <v>549.178</v>
      </c>
      <c r="DD9" s="94"/>
      <c r="DE9" s="88">
        <f t="shared" si="56"/>
        <v>-229.11254700000001</v>
      </c>
      <c r="DF9" s="100">
        <f ca="1">BE9+(SUM(CS2:CS13)/12)</f>
        <v>318.25</v>
      </c>
      <c r="DG9" s="351"/>
      <c r="DH9" s="8">
        <f t="shared" si="32"/>
        <v>0</v>
      </c>
      <c r="DI9" s="123">
        <f t="shared" si="22"/>
        <v>16000</v>
      </c>
      <c r="DJ9" s="2">
        <f t="shared" si="33"/>
        <v>0</v>
      </c>
      <c r="DK9" s="127">
        <f>DK13/12*8</f>
        <v>5200</v>
      </c>
      <c r="DL9" s="2">
        <f t="shared" si="34"/>
        <v>650</v>
      </c>
      <c r="DM9" s="130">
        <f t="shared" si="35"/>
        <v>0</v>
      </c>
      <c r="DN9" s="3">
        <f>DN13/12*8</f>
        <v>2000</v>
      </c>
      <c r="DO9" s="130">
        <f t="shared" si="45"/>
        <v>250</v>
      </c>
      <c r="DP9" s="4">
        <f t="shared" si="36"/>
        <v>0</v>
      </c>
      <c r="DQ9" s="116">
        <f t="shared" si="37"/>
        <v>8800</v>
      </c>
      <c r="DR9" s="116">
        <f>$DQ$13*11%</f>
        <v>1100</v>
      </c>
      <c r="DS9" s="196"/>
      <c r="DT9" s="317"/>
    </row>
    <row r="10" spans="1:124" s="1" customFormat="1" ht="14.25" customHeight="1" x14ac:dyDescent="0.15">
      <c r="A10" s="416"/>
      <c r="B10" s="16">
        <v>43617</v>
      </c>
      <c r="C10" s="207">
        <f>'PV-Felder'!$B$7/15.18*11.88</f>
        <v>1554.8869565217392</v>
      </c>
      <c r="D10" s="351"/>
      <c r="E10" s="61">
        <v>0</v>
      </c>
      <c r="F10" s="351"/>
      <c r="G10" s="56">
        <f t="shared" ca="1" si="0"/>
        <v>-1554.8869565217392</v>
      </c>
      <c r="H10" s="351"/>
      <c r="I10" s="61">
        <v>0</v>
      </c>
      <c r="J10" s="351"/>
      <c r="K10" s="61">
        <v>0</v>
      </c>
      <c r="L10" s="351"/>
      <c r="M10" s="65">
        <f t="shared" si="1"/>
        <v>0</v>
      </c>
      <c r="N10" s="373"/>
      <c r="O10" s="61"/>
      <c r="P10" s="288"/>
      <c r="Q10" s="286">
        <f t="shared" si="2"/>
        <v>0</v>
      </c>
      <c r="R10" s="336"/>
      <c r="S10" s="61">
        <v>0</v>
      </c>
      <c r="T10" s="376"/>
      <c r="U10" s="61">
        <v>0</v>
      </c>
      <c r="V10" s="342"/>
      <c r="W10" s="61">
        <v>0</v>
      </c>
      <c r="X10" s="342"/>
      <c r="Y10" s="211" t="e">
        <f t="shared" si="23"/>
        <v>#N/A</v>
      </c>
      <c r="Z10" s="370"/>
      <c r="AA10" s="61">
        <v>0</v>
      </c>
      <c r="AB10" s="351"/>
      <c r="AC10" s="61">
        <v>0</v>
      </c>
      <c r="AD10" s="351"/>
      <c r="AE10" s="73" t="e">
        <f t="shared" si="38"/>
        <v>#N/A</v>
      </c>
      <c r="AF10" s="356"/>
      <c r="AG10" s="73" t="e">
        <f t="shared" si="3"/>
        <v>#N/A</v>
      </c>
      <c r="AH10" s="356"/>
      <c r="AI10" s="221">
        <f t="shared" si="46"/>
        <v>11.88</v>
      </c>
      <c r="AJ10" s="78">
        <f t="shared" si="54"/>
        <v>0.26750000000000002</v>
      </c>
      <c r="AK10" s="79">
        <f t="shared" si="24"/>
        <v>4.916666666666667</v>
      </c>
      <c r="AL10" s="80">
        <f t="shared" si="24"/>
        <v>100</v>
      </c>
      <c r="AM10" s="78">
        <f t="shared" si="24"/>
        <v>0.1147</v>
      </c>
      <c r="AN10" s="80">
        <f t="shared" si="55"/>
        <v>74</v>
      </c>
      <c r="AO10" s="78">
        <f t="shared" si="25"/>
        <v>0.18890000000000001</v>
      </c>
      <c r="AP10" s="88">
        <f t="shared" si="25"/>
        <v>9</v>
      </c>
      <c r="AQ10" s="64">
        <f t="shared" si="47"/>
        <v>21.5</v>
      </c>
      <c r="AR10" s="64">
        <f t="shared" si="48"/>
        <v>11.5</v>
      </c>
      <c r="AS10" s="88">
        <f t="shared" si="50"/>
        <v>1.2669999999999999</v>
      </c>
      <c r="AT10" s="91">
        <f t="shared" si="49"/>
        <v>200</v>
      </c>
      <c r="AU10" s="94"/>
      <c r="AV10" s="95"/>
      <c r="AW10" s="56">
        <f t="shared" si="4"/>
        <v>0</v>
      </c>
      <c r="AX10" s="351"/>
      <c r="AY10" s="100">
        <f t="shared" si="52"/>
        <v>4.916666666666667</v>
      </c>
      <c r="AZ10" s="360"/>
      <c r="BA10" s="91">
        <f t="shared" si="39"/>
        <v>-59.529213666666664</v>
      </c>
      <c r="BB10" s="5">
        <f t="shared" si="5"/>
        <v>-4.916666666666667</v>
      </c>
      <c r="BC10" s="363"/>
      <c r="BD10" s="91">
        <f t="shared" ca="1" si="6"/>
        <v>4.916666666666667</v>
      </c>
      <c r="BE10" s="91">
        <f t="shared" ca="1" si="7"/>
        <v>204.91666666666666</v>
      </c>
      <c r="BF10" s="91">
        <f t="shared" si="8"/>
        <v>18.833333333333336</v>
      </c>
      <c r="BG10" s="91">
        <f t="shared" ca="1" si="9"/>
        <v>13.916666666666668</v>
      </c>
      <c r="BH10" s="91">
        <f t="shared" ca="1" si="10"/>
        <v>-186.08333333333331</v>
      </c>
      <c r="BI10" s="10">
        <f t="shared" ca="1" si="40"/>
        <v>204.91666666666666</v>
      </c>
      <c r="BJ10" s="104">
        <f>((M10+Q10)*AJ10+AK10)+((U10-W10+W10/('Vergleich Holz Strom'!$B$8-0.6))*AO10+AP10)</f>
        <v>13.916666666666668</v>
      </c>
      <c r="BK10" s="10">
        <f t="shared" ca="1" si="11"/>
        <v>-191</v>
      </c>
      <c r="BL10" s="379"/>
      <c r="BM10" s="104">
        <f t="shared" ca="1" si="27"/>
        <v>-1762.1125469999999</v>
      </c>
      <c r="BN10" s="40">
        <f ca="1">IF(ISNUMBER(BK10),BN9+SUMIF(BK2:BK13,"&lt;&gt;#NV",BK2:BK13)/(COUNTIF(BK2:BK13,"&lt;&gt;#NV")-1),#N/A)</f>
        <v>-1698.2636705454538</v>
      </c>
      <c r="BO10" s="10">
        <f t="shared" ca="1" si="28"/>
        <v>9</v>
      </c>
      <c r="BP10" s="104">
        <f t="shared" ca="1" si="29"/>
        <v>-45369.752546999996</v>
      </c>
      <c r="BQ10" s="104">
        <f t="shared" ca="1" si="41"/>
        <v>-45369.752546999996</v>
      </c>
      <c r="BR10" s="10">
        <f t="shared" si="12"/>
        <v>4.916666666666667</v>
      </c>
      <c r="BS10" s="311"/>
      <c r="BT10" s="307"/>
      <c r="BU10" s="295">
        <f t="shared" si="13"/>
        <v>0</v>
      </c>
      <c r="BV10" s="323"/>
      <c r="BW10" s="299">
        <f t="shared" si="14"/>
        <v>0</v>
      </c>
      <c r="BX10" s="295">
        <f t="shared" si="15"/>
        <v>0</v>
      </c>
      <c r="BY10" s="414"/>
      <c r="BZ10" s="299">
        <f t="shared" si="30"/>
        <v>0</v>
      </c>
      <c r="CA10" s="295">
        <f t="shared" si="42"/>
        <v>0</v>
      </c>
      <c r="CB10" s="323"/>
      <c r="CC10" s="314">
        <f t="shared" si="43"/>
        <v>0</v>
      </c>
      <c r="CD10" s="339"/>
      <c r="CE10" s="299">
        <f t="shared" si="17"/>
        <v>0</v>
      </c>
      <c r="CF10" s="284">
        <f t="shared" si="44"/>
        <v>0</v>
      </c>
      <c r="CG10" s="323"/>
      <c r="CH10" s="302">
        <f t="shared" si="31"/>
        <v>0</v>
      </c>
      <c r="CI10" s="108">
        <f t="shared" si="19"/>
        <v>0</v>
      </c>
      <c r="CJ10" s="200">
        <f t="shared" si="20"/>
        <v>0</v>
      </c>
      <c r="CK10" s="197">
        <f t="shared" si="51"/>
        <v>0</v>
      </c>
      <c r="CL10" s="203">
        <f t="shared" si="21"/>
        <v>9</v>
      </c>
      <c r="CM10" s="4">
        <f>U10*Jahresdaten!$AD$2</f>
        <v>0</v>
      </c>
      <c r="CN10" s="112">
        <f>CJ10*Jahresdaten!$AD$2</f>
        <v>0</v>
      </c>
      <c r="CO10" s="366"/>
      <c r="CP10" s="116">
        <f>U10*Jahresdaten!$AD$3</f>
        <v>0</v>
      </c>
      <c r="CQ10" s="12">
        <f>CJ10*Jahresdaten!$AD$3</f>
        <v>0</v>
      </c>
      <c r="CR10" s="353"/>
      <c r="CS10" s="14"/>
      <c r="CT10" s="136"/>
      <c r="CU10" s="140" t="str">
        <f>IF(CT10=0,"",CT10*'Vergleich Holz Strom'!$B$2)</f>
        <v/>
      </c>
      <c r="CV10" s="353"/>
      <c r="CW10" s="366"/>
      <c r="CX10" s="345"/>
      <c r="CY10" s="345"/>
      <c r="CZ10" s="345"/>
      <c r="DA10" s="348"/>
      <c r="DB10" s="94"/>
      <c r="DC10" s="88">
        <f t="shared" si="53"/>
        <v>644.26133333333337</v>
      </c>
      <c r="DD10" s="94"/>
      <c r="DE10" s="88">
        <f t="shared" si="56"/>
        <v>-303.11254700000001</v>
      </c>
      <c r="DF10" s="100">
        <f ca="1">BE10+(SUM(CS2:CS13)/12)</f>
        <v>318.25</v>
      </c>
      <c r="DG10" s="351"/>
      <c r="DH10" s="8">
        <f t="shared" si="32"/>
        <v>0</v>
      </c>
      <c r="DI10" s="123">
        <f t="shared" si="22"/>
        <v>17200</v>
      </c>
      <c r="DJ10" s="2">
        <f t="shared" si="33"/>
        <v>0</v>
      </c>
      <c r="DK10" s="127">
        <f>DK13/12*9</f>
        <v>5850</v>
      </c>
      <c r="DL10" s="2">
        <f t="shared" si="34"/>
        <v>650</v>
      </c>
      <c r="DM10" s="130">
        <f t="shared" si="35"/>
        <v>0</v>
      </c>
      <c r="DN10" s="3">
        <f>DN13/12*9</f>
        <v>2250</v>
      </c>
      <c r="DO10" s="130">
        <f t="shared" si="45"/>
        <v>250</v>
      </c>
      <c r="DP10" s="4">
        <f t="shared" si="36"/>
        <v>0</v>
      </c>
      <c r="DQ10" s="116">
        <f t="shared" si="37"/>
        <v>9100</v>
      </c>
      <c r="DR10" s="116">
        <f>$DQ$13*3%</f>
        <v>300</v>
      </c>
      <c r="DS10" s="196"/>
      <c r="DT10" s="317"/>
    </row>
    <row r="11" spans="1:124" s="1" customFormat="1" ht="14.25" customHeight="1" x14ac:dyDescent="0.15">
      <c r="A11" s="416"/>
      <c r="B11" s="16">
        <v>43647</v>
      </c>
      <c r="C11" s="207">
        <f>'PV-Felder'!$B$8/15.18*11.88</f>
        <v>1582.0434782608697</v>
      </c>
      <c r="D11" s="351"/>
      <c r="E11" s="61">
        <v>0</v>
      </c>
      <c r="F11" s="351"/>
      <c r="G11" s="56">
        <f t="shared" ca="1" si="0"/>
        <v>-1582.0434782608697</v>
      </c>
      <c r="H11" s="351"/>
      <c r="I11" s="61">
        <v>0</v>
      </c>
      <c r="J11" s="351"/>
      <c r="K11" s="61">
        <v>0</v>
      </c>
      <c r="L11" s="351"/>
      <c r="M11" s="65">
        <f t="shared" si="1"/>
        <v>0</v>
      </c>
      <c r="N11" s="373"/>
      <c r="O11" s="61"/>
      <c r="P11" s="288"/>
      <c r="Q11" s="286">
        <f t="shared" si="2"/>
        <v>0</v>
      </c>
      <c r="R11" s="336"/>
      <c r="S11" s="61">
        <v>0</v>
      </c>
      <c r="T11" s="376"/>
      <c r="U11" s="61">
        <v>0</v>
      </c>
      <c r="V11" s="342"/>
      <c r="W11" s="61">
        <v>0</v>
      </c>
      <c r="X11" s="342"/>
      <c r="Y11" s="211" t="e">
        <f t="shared" si="23"/>
        <v>#N/A</v>
      </c>
      <c r="Z11" s="370"/>
      <c r="AA11" s="61">
        <v>0</v>
      </c>
      <c r="AB11" s="351"/>
      <c r="AC11" s="61">
        <v>0</v>
      </c>
      <c r="AD11" s="351"/>
      <c r="AE11" s="73" t="e">
        <f t="shared" si="38"/>
        <v>#N/A</v>
      </c>
      <c r="AF11" s="356"/>
      <c r="AG11" s="73" t="e">
        <f t="shared" si="3"/>
        <v>#N/A</v>
      </c>
      <c r="AH11" s="356"/>
      <c r="AI11" s="221">
        <f t="shared" si="46"/>
        <v>11.88</v>
      </c>
      <c r="AJ11" s="78">
        <f t="shared" si="54"/>
        <v>0.26750000000000002</v>
      </c>
      <c r="AK11" s="79">
        <f t="shared" si="24"/>
        <v>4.916666666666667</v>
      </c>
      <c r="AL11" s="80">
        <f t="shared" si="24"/>
        <v>100</v>
      </c>
      <c r="AM11" s="78">
        <f t="shared" si="24"/>
        <v>0.1147</v>
      </c>
      <c r="AN11" s="80">
        <f t="shared" si="55"/>
        <v>74</v>
      </c>
      <c r="AO11" s="78">
        <f t="shared" si="25"/>
        <v>0.18890000000000001</v>
      </c>
      <c r="AP11" s="88">
        <f t="shared" si="25"/>
        <v>9</v>
      </c>
      <c r="AQ11" s="64">
        <f t="shared" si="47"/>
        <v>21.5</v>
      </c>
      <c r="AR11" s="64">
        <f t="shared" si="48"/>
        <v>11.5</v>
      </c>
      <c r="AS11" s="88">
        <f t="shared" si="50"/>
        <v>1.2669999999999999</v>
      </c>
      <c r="AT11" s="91">
        <f t="shared" si="49"/>
        <v>200</v>
      </c>
      <c r="AU11" s="94"/>
      <c r="AV11" s="95"/>
      <c r="AW11" s="56">
        <f t="shared" si="4"/>
        <v>0</v>
      </c>
      <c r="AX11" s="351"/>
      <c r="AY11" s="100">
        <f t="shared" si="52"/>
        <v>4.916666666666667</v>
      </c>
      <c r="AZ11" s="360"/>
      <c r="BA11" s="91">
        <f t="shared" si="39"/>
        <v>-64.445880333333335</v>
      </c>
      <c r="BB11" s="5">
        <f t="shared" si="5"/>
        <v>-4.916666666666667</v>
      </c>
      <c r="BC11" s="363"/>
      <c r="BD11" s="91">
        <f t="shared" ca="1" si="6"/>
        <v>4.916666666666667</v>
      </c>
      <c r="BE11" s="91">
        <f t="shared" ca="1" si="7"/>
        <v>204.91666666666666</v>
      </c>
      <c r="BF11" s="91">
        <f t="shared" si="8"/>
        <v>18.833333333333336</v>
      </c>
      <c r="BG11" s="91">
        <f t="shared" ca="1" si="9"/>
        <v>13.916666666666668</v>
      </c>
      <c r="BH11" s="91">
        <f t="shared" ca="1" si="10"/>
        <v>-186.08333333333331</v>
      </c>
      <c r="BI11" s="10">
        <f t="shared" ca="1" si="40"/>
        <v>204.91666666666666</v>
      </c>
      <c r="BJ11" s="104">
        <f>((M11+Q11)*AJ11+AK11)+((U11-W11+W11/('Vergleich Holz Strom'!$B$8-0.6))*AO11+AP11)</f>
        <v>13.916666666666668</v>
      </c>
      <c r="BK11" s="10">
        <f t="shared" ca="1" si="11"/>
        <v>-191</v>
      </c>
      <c r="BL11" s="379"/>
      <c r="BM11" s="104">
        <f t="shared" ca="1" si="27"/>
        <v>-1953.1125469999999</v>
      </c>
      <c r="BN11" s="40">
        <f ca="1">IF(ISNUMBER(BK11),BN10+SUMIF(BK2:BK13,"&lt;&gt;#NV",BK2:BK13)/(COUNTIF(BK2:BK13,"&lt;&gt;#NV")-1),#N/A)</f>
        <v>-1910.5466293636355</v>
      </c>
      <c r="BO11" s="10">
        <f ca="1">BK11+AT11+AU11</f>
        <v>9</v>
      </c>
      <c r="BP11" s="104">
        <f t="shared" ca="1" si="29"/>
        <v>-45360.752546999996</v>
      </c>
      <c r="BQ11" s="104">
        <f t="shared" ca="1" si="41"/>
        <v>-45360.752546999996</v>
      </c>
      <c r="BR11" s="10">
        <f t="shared" si="12"/>
        <v>4.916666666666667</v>
      </c>
      <c r="BS11" s="311"/>
      <c r="BT11" s="307"/>
      <c r="BU11" s="295">
        <f t="shared" si="13"/>
        <v>0</v>
      </c>
      <c r="BV11" s="323"/>
      <c r="BW11" s="299">
        <f t="shared" si="14"/>
        <v>0</v>
      </c>
      <c r="BX11" s="295">
        <f t="shared" si="15"/>
        <v>0</v>
      </c>
      <c r="BY11" s="414"/>
      <c r="BZ11" s="299">
        <f t="shared" si="30"/>
        <v>0</v>
      </c>
      <c r="CA11" s="295">
        <f t="shared" si="42"/>
        <v>0</v>
      </c>
      <c r="CB11" s="323"/>
      <c r="CC11" s="314">
        <f t="shared" si="43"/>
        <v>0</v>
      </c>
      <c r="CD11" s="339"/>
      <c r="CE11" s="299">
        <f t="shared" si="17"/>
        <v>0</v>
      </c>
      <c r="CF11" s="284">
        <f t="shared" si="44"/>
        <v>0</v>
      </c>
      <c r="CG11" s="323"/>
      <c r="CH11" s="302">
        <f t="shared" si="31"/>
        <v>0</v>
      </c>
      <c r="CI11" s="108">
        <f t="shared" si="19"/>
        <v>0</v>
      </c>
      <c r="CJ11" s="200">
        <f t="shared" si="20"/>
        <v>0</v>
      </c>
      <c r="CK11" s="197">
        <f t="shared" si="51"/>
        <v>0</v>
      </c>
      <c r="CL11" s="203">
        <f t="shared" si="21"/>
        <v>9</v>
      </c>
      <c r="CM11" s="4">
        <f>U11*Jahresdaten!$AD$2</f>
        <v>0</v>
      </c>
      <c r="CN11" s="112">
        <f>CJ11*Jahresdaten!$AD$2</f>
        <v>0</v>
      </c>
      <c r="CO11" s="366"/>
      <c r="CP11" s="116">
        <f>U11*Jahresdaten!$AD$3</f>
        <v>0</v>
      </c>
      <c r="CQ11" s="12">
        <f>CJ11*Jahresdaten!$AD$3</f>
        <v>0</v>
      </c>
      <c r="CR11" s="353"/>
      <c r="CS11" s="14"/>
      <c r="CT11" s="136"/>
      <c r="CU11" s="140" t="str">
        <f>IF(CT11=0,"",CT11*'Vergleich Holz Strom'!$B$2)</f>
        <v/>
      </c>
      <c r="CV11" s="353"/>
      <c r="CW11" s="366"/>
      <c r="CX11" s="345"/>
      <c r="CY11" s="345"/>
      <c r="CZ11" s="345"/>
      <c r="DA11" s="348"/>
      <c r="DB11" s="94"/>
      <c r="DC11" s="88">
        <f t="shared" si="53"/>
        <v>739.34466666666674</v>
      </c>
      <c r="DD11" s="94"/>
      <c r="DE11" s="88">
        <f t="shared" si="56"/>
        <v>-377.11254700000001</v>
      </c>
      <c r="DF11" s="100">
        <f ca="1">BE11+(SUM(CS2:CS13)/12)</f>
        <v>318.25</v>
      </c>
      <c r="DG11" s="351"/>
      <c r="DH11" s="8">
        <f t="shared" si="32"/>
        <v>0</v>
      </c>
      <c r="DI11" s="123">
        <f t="shared" si="22"/>
        <v>18250</v>
      </c>
      <c r="DJ11" s="2">
        <f t="shared" si="33"/>
        <v>0</v>
      </c>
      <c r="DK11" s="127">
        <f>DK13/12*10</f>
        <v>6500</v>
      </c>
      <c r="DL11" s="2">
        <f t="shared" si="34"/>
        <v>650</v>
      </c>
      <c r="DM11" s="130">
        <f t="shared" si="35"/>
        <v>0</v>
      </c>
      <c r="DN11" s="3">
        <f>DN13/12*10</f>
        <v>2500</v>
      </c>
      <c r="DO11" s="130">
        <f t="shared" si="45"/>
        <v>250</v>
      </c>
      <c r="DP11" s="4">
        <f t="shared" si="36"/>
        <v>0</v>
      </c>
      <c r="DQ11" s="116">
        <f t="shared" si="37"/>
        <v>9250</v>
      </c>
      <c r="DR11" s="116">
        <f>$DQ$13*1.5%</f>
        <v>150</v>
      </c>
      <c r="DS11" s="196"/>
      <c r="DT11" s="317"/>
    </row>
    <row r="12" spans="1:124" s="1" customFormat="1" ht="14.25" customHeight="1" x14ac:dyDescent="0.15">
      <c r="A12" s="416"/>
      <c r="B12" s="16">
        <v>43678</v>
      </c>
      <c r="C12" s="207">
        <f>'PV-Felder'!$B$9</f>
        <v>1862.1</v>
      </c>
      <c r="D12" s="351"/>
      <c r="E12" s="61">
        <v>0</v>
      </c>
      <c r="F12" s="351"/>
      <c r="G12" s="56">
        <f t="shared" ca="1" si="0"/>
        <v>-1862.1</v>
      </c>
      <c r="H12" s="351"/>
      <c r="I12" s="61">
        <v>0</v>
      </c>
      <c r="J12" s="351"/>
      <c r="K12" s="61">
        <v>0</v>
      </c>
      <c r="L12" s="351"/>
      <c r="M12" s="65">
        <f t="shared" si="1"/>
        <v>0</v>
      </c>
      <c r="N12" s="373"/>
      <c r="O12" s="61"/>
      <c r="P12" s="288"/>
      <c r="Q12" s="286">
        <f t="shared" si="2"/>
        <v>0</v>
      </c>
      <c r="R12" s="336"/>
      <c r="S12" s="61">
        <v>0</v>
      </c>
      <c r="T12" s="376"/>
      <c r="U12" s="61">
        <v>0</v>
      </c>
      <c r="V12" s="342"/>
      <c r="W12" s="61">
        <v>0</v>
      </c>
      <c r="X12" s="342"/>
      <c r="Y12" s="211" t="e">
        <f t="shared" si="23"/>
        <v>#N/A</v>
      </c>
      <c r="Z12" s="370"/>
      <c r="AA12" s="61">
        <v>0</v>
      </c>
      <c r="AB12" s="351"/>
      <c r="AC12" s="61">
        <v>0</v>
      </c>
      <c r="AD12" s="351"/>
      <c r="AE12" s="73" t="e">
        <f t="shared" si="38"/>
        <v>#N/A</v>
      </c>
      <c r="AF12" s="356"/>
      <c r="AG12" s="73" t="e">
        <f t="shared" si="3"/>
        <v>#N/A</v>
      </c>
      <c r="AH12" s="356"/>
      <c r="AI12" s="221">
        <v>15.18</v>
      </c>
      <c r="AJ12" s="78">
        <f t="shared" si="54"/>
        <v>0.26750000000000002</v>
      </c>
      <c r="AK12" s="79">
        <f t="shared" si="24"/>
        <v>4.916666666666667</v>
      </c>
      <c r="AL12" s="80">
        <f>AL11+25</f>
        <v>125</v>
      </c>
      <c r="AM12" s="78">
        <f t="shared" si="24"/>
        <v>0.1147</v>
      </c>
      <c r="AN12" s="80">
        <f t="shared" si="55"/>
        <v>74</v>
      </c>
      <c r="AO12" s="78">
        <f t="shared" si="25"/>
        <v>0.18890000000000001</v>
      </c>
      <c r="AP12" s="88">
        <f t="shared" si="25"/>
        <v>9</v>
      </c>
      <c r="AQ12" s="64">
        <f t="shared" si="47"/>
        <v>21.5</v>
      </c>
      <c r="AR12" s="64">
        <f t="shared" si="48"/>
        <v>11.5</v>
      </c>
      <c r="AS12" s="88">
        <f t="shared" si="50"/>
        <v>1.2669999999999999</v>
      </c>
      <c r="AT12" s="91">
        <f t="shared" si="49"/>
        <v>200</v>
      </c>
      <c r="AU12" s="94"/>
      <c r="AV12" s="95"/>
      <c r="AW12" s="56">
        <f t="shared" si="4"/>
        <v>0</v>
      </c>
      <c r="AX12" s="351"/>
      <c r="AY12" s="100">
        <f t="shared" si="52"/>
        <v>4.916666666666667</v>
      </c>
      <c r="AZ12" s="360"/>
      <c r="BA12" s="91">
        <f t="shared" si="39"/>
        <v>-69.362547000000006</v>
      </c>
      <c r="BB12" s="5">
        <f t="shared" si="5"/>
        <v>-4.916666666666667</v>
      </c>
      <c r="BC12" s="363"/>
      <c r="BD12" s="91">
        <f t="shared" ca="1" si="6"/>
        <v>4.916666666666667</v>
      </c>
      <c r="BE12" s="91">
        <f t="shared" ca="1" si="7"/>
        <v>204.91666666666666</v>
      </c>
      <c r="BF12" s="91">
        <f t="shared" si="8"/>
        <v>18.833333333333336</v>
      </c>
      <c r="BG12" s="91">
        <f t="shared" ca="1" si="9"/>
        <v>13.916666666666668</v>
      </c>
      <c r="BH12" s="91">
        <f t="shared" ca="1" si="10"/>
        <v>-186.08333333333331</v>
      </c>
      <c r="BI12" s="10">
        <f t="shared" ca="1" si="40"/>
        <v>204.91666666666666</v>
      </c>
      <c r="BJ12" s="104">
        <f>((M12+Q12)*AJ12+AK12)+((U12-W12+W12/('Vergleich Holz Strom'!$B$8-0.6))*AO12+AP12)</f>
        <v>13.916666666666668</v>
      </c>
      <c r="BK12" s="10">
        <f ca="1">BJ12-BI12</f>
        <v>-191</v>
      </c>
      <c r="BL12" s="379"/>
      <c r="BM12" s="104">
        <f t="shared" ca="1" si="27"/>
        <v>-2144.1125469999997</v>
      </c>
      <c r="BN12" s="40">
        <f ca="1">IF(ISNUMBER(BK12),BN11+SUMIF(BK2:BK13,"&lt;&gt;#NV",BK2:BK13)/(COUNTIF(BK2:BK13,"&lt;&gt;#NV")-1),#N/A)</f>
        <v>-2122.8295881818171</v>
      </c>
      <c r="BO12" s="10">
        <f t="shared" ref="BO12:BO13" ca="1" si="57">BK12+AT12+AU12</f>
        <v>9</v>
      </c>
      <c r="BP12" s="104">
        <f t="shared" ca="1" si="29"/>
        <v>-45351.752546999996</v>
      </c>
      <c r="BQ12" s="104">
        <f t="shared" ca="1" si="41"/>
        <v>-45351.752546999996</v>
      </c>
      <c r="BR12" s="10">
        <f t="shared" si="12"/>
        <v>4.916666666666667</v>
      </c>
      <c r="BS12" s="311"/>
      <c r="BT12" s="307"/>
      <c r="BU12" s="295">
        <f t="shared" si="13"/>
        <v>0</v>
      </c>
      <c r="BV12" s="323"/>
      <c r="BW12" s="299">
        <f t="shared" si="14"/>
        <v>0</v>
      </c>
      <c r="BX12" s="295">
        <f t="shared" si="15"/>
        <v>0</v>
      </c>
      <c r="BY12" s="414"/>
      <c r="BZ12" s="299">
        <f t="shared" si="30"/>
        <v>0</v>
      </c>
      <c r="CA12" s="295">
        <f t="shared" si="42"/>
        <v>0</v>
      </c>
      <c r="CB12" s="323"/>
      <c r="CC12" s="314">
        <f t="shared" si="43"/>
        <v>0</v>
      </c>
      <c r="CD12" s="339"/>
      <c r="CE12" s="299">
        <f t="shared" si="17"/>
        <v>0</v>
      </c>
      <c r="CF12" s="284">
        <f t="shared" si="44"/>
        <v>0</v>
      </c>
      <c r="CG12" s="323"/>
      <c r="CH12" s="302">
        <f t="shared" ref="CH12:CH75" si="58">CH11+CF12</f>
        <v>0</v>
      </c>
      <c r="CI12" s="108">
        <f t="shared" si="19"/>
        <v>0</v>
      </c>
      <c r="CJ12" s="200">
        <f t="shared" si="20"/>
        <v>0</v>
      </c>
      <c r="CK12" s="197">
        <f t="shared" si="51"/>
        <v>0</v>
      </c>
      <c r="CL12" s="203">
        <f t="shared" si="21"/>
        <v>9</v>
      </c>
      <c r="CM12" s="4">
        <f>U12*Jahresdaten!$AD$2</f>
        <v>0</v>
      </c>
      <c r="CN12" s="112">
        <f>CJ12*Jahresdaten!$AD$2</f>
        <v>0</v>
      </c>
      <c r="CO12" s="366"/>
      <c r="CP12" s="116">
        <f>U12*Jahresdaten!$AD$3</f>
        <v>0</v>
      </c>
      <c r="CQ12" s="12">
        <f>CJ12*Jahresdaten!$AD$3</f>
        <v>0</v>
      </c>
      <c r="CR12" s="353"/>
      <c r="CS12" s="14"/>
      <c r="CT12" s="136"/>
      <c r="CU12" s="140" t="str">
        <f>IF(CT12=0,"",CT12*'Vergleich Holz Strom'!$B$2)</f>
        <v/>
      </c>
      <c r="CV12" s="353"/>
      <c r="CW12" s="366"/>
      <c r="CX12" s="345"/>
      <c r="CY12" s="345"/>
      <c r="CZ12" s="345"/>
      <c r="DA12" s="348"/>
      <c r="DB12" s="94"/>
      <c r="DC12" s="88">
        <f t="shared" si="53"/>
        <v>859.42800000000011</v>
      </c>
      <c r="DD12" s="94"/>
      <c r="DE12" s="88">
        <f t="shared" si="56"/>
        <v>-451.11254700000001</v>
      </c>
      <c r="DF12" s="100">
        <f ca="1">BE12+(SUM(CS2:CS13)/12)</f>
        <v>318.25</v>
      </c>
      <c r="DG12" s="351"/>
      <c r="DH12" s="8">
        <f t="shared" si="32"/>
        <v>0</v>
      </c>
      <c r="DI12" s="123">
        <f t="shared" si="22"/>
        <v>19300</v>
      </c>
      <c r="DJ12" s="2">
        <f t="shared" si="33"/>
        <v>0</v>
      </c>
      <c r="DK12" s="127">
        <f>DK13/12*11</f>
        <v>7150</v>
      </c>
      <c r="DL12" s="2">
        <f t="shared" si="34"/>
        <v>650</v>
      </c>
      <c r="DM12" s="130">
        <f t="shared" si="35"/>
        <v>0</v>
      </c>
      <c r="DN12" s="3">
        <f>DN13/12*11</f>
        <v>2750</v>
      </c>
      <c r="DO12" s="130">
        <f t="shared" si="45"/>
        <v>250</v>
      </c>
      <c r="DP12" s="4">
        <f t="shared" si="36"/>
        <v>0</v>
      </c>
      <c r="DQ12" s="116">
        <f t="shared" si="37"/>
        <v>9400</v>
      </c>
      <c r="DR12" s="116">
        <f>$DQ$13*1.5%</f>
        <v>150</v>
      </c>
      <c r="DS12" s="196"/>
      <c r="DT12" s="317"/>
    </row>
    <row r="13" spans="1:124" s="1" customFormat="1" ht="15" customHeight="1" thickBot="1" x14ac:dyDescent="0.2">
      <c r="A13" s="417"/>
      <c r="B13" s="16">
        <v>43709</v>
      </c>
      <c r="C13" s="208">
        <f>'PV-Felder'!$B$10</f>
        <v>1546.2</v>
      </c>
      <c r="D13" s="352"/>
      <c r="E13" s="63">
        <v>0</v>
      </c>
      <c r="F13" s="351"/>
      <c r="G13" s="56">
        <f t="shared" ca="1" si="0"/>
        <v>-1546.2</v>
      </c>
      <c r="H13" s="352"/>
      <c r="I13" s="63">
        <v>0</v>
      </c>
      <c r="J13" s="351"/>
      <c r="K13" s="63">
        <v>0</v>
      </c>
      <c r="L13" s="351"/>
      <c r="M13" s="65">
        <f t="shared" si="1"/>
        <v>0</v>
      </c>
      <c r="N13" s="373"/>
      <c r="O13" s="61"/>
      <c r="P13" s="288"/>
      <c r="Q13" s="289">
        <f t="shared" si="2"/>
        <v>0</v>
      </c>
      <c r="R13" s="336"/>
      <c r="S13" s="63">
        <v>0</v>
      </c>
      <c r="T13" s="376"/>
      <c r="U13" s="63">
        <v>0</v>
      </c>
      <c r="V13" s="342"/>
      <c r="W13" s="61">
        <v>0</v>
      </c>
      <c r="X13" s="342"/>
      <c r="Y13" s="213" t="e">
        <f t="shared" si="23"/>
        <v>#N/A</v>
      </c>
      <c r="Z13" s="371"/>
      <c r="AA13" s="63">
        <v>0</v>
      </c>
      <c r="AB13" s="351"/>
      <c r="AC13" s="63">
        <v>0</v>
      </c>
      <c r="AD13" s="351"/>
      <c r="AE13" s="73" t="e">
        <f t="shared" si="38"/>
        <v>#N/A</v>
      </c>
      <c r="AF13" s="357"/>
      <c r="AG13" s="73" t="e">
        <f t="shared" si="3"/>
        <v>#N/A</v>
      </c>
      <c r="AH13" s="357"/>
      <c r="AI13" s="221">
        <f>AI12</f>
        <v>15.18</v>
      </c>
      <c r="AJ13" s="78">
        <f t="shared" si="54"/>
        <v>0.26750000000000002</v>
      </c>
      <c r="AK13" s="79">
        <f t="shared" si="24"/>
        <v>4.916666666666667</v>
      </c>
      <c r="AL13" s="80">
        <f t="shared" si="24"/>
        <v>125</v>
      </c>
      <c r="AM13" s="78">
        <f t="shared" si="24"/>
        <v>0.1147</v>
      </c>
      <c r="AN13" s="80">
        <f t="shared" si="55"/>
        <v>74</v>
      </c>
      <c r="AO13" s="78">
        <f t="shared" si="25"/>
        <v>0.18890000000000001</v>
      </c>
      <c r="AP13" s="88">
        <f t="shared" si="25"/>
        <v>9</v>
      </c>
      <c r="AQ13" s="125">
        <f t="shared" si="47"/>
        <v>21.5</v>
      </c>
      <c r="AR13" s="125">
        <f t="shared" si="48"/>
        <v>11.5</v>
      </c>
      <c r="AS13" s="92">
        <f t="shared" si="50"/>
        <v>1.2669999999999999</v>
      </c>
      <c r="AT13" s="92">
        <f t="shared" si="49"/>
        <v>200</v>
      </c>
      <c r="AU13" s="94"/>
      <c r="AV13" s="95"/>
      <c r="AW13" s="56">
        <f t="shared" si="4"/>
        <v>0</v>
      </c>
      <c r="AX13" s="351"/>
      <c r="AY13" s="100">
        <f t="shared" si="52"/>
        <v>4.916666666666667</v>
      </c>
      <c r="AZ13" s="360"/>
      <c r="BA13" s="91">
        <f t="shared" si="39"/>
        <v>-74.279213666666678</v>
      </c>
      <c r="BB13" s="5">
        <f t="shared" si="5"/>
        <v>-4.916666666666667</v>
      </c>
      <c r="BC13" s="363"/>
      <c r="BD13" s="92">
        <f t="shared" ca="1" si="6"/>
        <v>4.916666666666667</v>
      </c>
      <c r="BE13" s="92">
        <f t="shared" ca="1" si="7"/>
        <v>204.91666666666666</v>
      </c>
      <c r="BF13" s="92">
        <f t="shared" si="8"/>
        <v>18.833333333333336</v>
      </c>
      <c r="BG13" s="92">
        <f t="shared" ca="1" si="9"/>
        <v>13.916666666666668</v>
      </c>
      <c r="BH13" s="92">
        <f t="shared" ca="1" si="10"/>
        <v>-186.08333333333331</v>
      </c>
      <c r="BI13" s="10">
        <f t="shared" ca="1" si="40"/>
        <v>204.91666666666666</v>
      </c>
      <c r="BJ13" s="106">
        <f>((M13+Q13)*AJ13+AK13)+((U13-W13+W13/('Vergleich Holz Strom'!$B$8-0.6))*AO13+AP13)</f>
        <v>13.916666666666668</v>
      </c>
      <c r="BK13" s="10">
        <f t="shared" ca="1" si="11"/>
        <v>-191</v>
      </c>
      <c r="BL13" s="379"/>
      <c r="BM13" s="106">
        <f t="shared" ca="1" si="27"/>
        <v>-2335.1125469999997</v>
      </c>
      <c r="BN13" s="226">
        <f ca="1">IF(ISNUMBER(BK13),BN12+SUMIF(BK2:BK13,"&lt;&gt;#NV",BK2:BK13)/(COUNTIF(BK2:BK13,"&lt;&gt;#NV")-1),#N/A)</f>
        <v>-2335.1125469999988</v>
      </c>
      <c r="BO13" s="318">
        <f t="shared" ca="1" si="57"/>
        <v>9</v>
      </c>
      <c r="BP13" s="106">
        <f t="shared" ca="1" si="29"/>
        <v>-45342.752546999996</v>
      </c>
      <c r="BQ13" s="106">
        <f ca="1">BP13</f>
        <v>-45342.752546999996</v>
      </c>
      <c r="BR13" s="24">
        <f t="shared" si="12"/>
        <v>4.916666666666667</v>
      </c>
      <c r="BS13" s="312"/>
      <c r="BT13" s="308"/>
      <c r="BU13" s="296">
        <f t="shared" si="13"/>
        <v>0</v>
      </c>
      <c r="BV13" s="323"/>
      <c r="BW13" s="299">
        <f t="shared" si="14"/>
        <v>0</v>
      </c>
      <c r="BX13" s="295">
        <f t="shared" si="15"/>
        <v>0</v>
      </c>
      <c r="BY13" s="323"/>
      <c r="BZ13" s="299">
        <f t="shared" si="30"/>
        <v>0</v>
      </c>
      <c r="CA13" s="296">
        <f t="shared" si="42"/>
        <v>0</v>
      </c>
      <c r="CB13" s="323"/>
      <c r="CC13" s="315">
        <f t="shared" si="43"/>
        <v>0</v>
      </c>
      <c r="CD13" s="326"/>
      <c r="CE13" s="292">
        <f t="shared" si="17"/>
        <v>0</v>
      </c>
      <c r="CF13" s="296">
        <f t="shared" si="44"/>
        <v>0</v>
      </c>
      <c r="CG13" s="324"/>
      <c r="CH13" s="303">
        <f t="shared" si="58"/>
        <v>0</v>
      </c>
      <c r="CI13" s="108">
        <f t="shared" si="19"/>
        <v>0</v>
      </c>
      <c r="CJ13" s="200">
        <f t="shared" si="20"/>
        <v>0</v>
      </c>
      <c r="CK13" s="25">
        <f t="shared" si="51"/>
        <v>0</v>
      </c>
      <c r="CL13" s="204">
        <f t="shared" si="21"/>
        <v>9</v>
      </c>
      <c r="CM13" s="4">
        <f>U13*Jahresdaten!$AD$2</f>
        <v>0</v>
      </c>
      <c r="CN13" s="112">
        <f>CJ13*Jahresdaten!$AD$2</f>
        <v>0</v>
      </c>
      <c r="CO13" s="366"/>
      <c r="CP13" s="116">
        <f>U13*Jahresdaten!$AD$3</f>
        <v>0</v>
      </c>
      <c r="CQ13" s="12">
        <f>CJ13*Jahresdaten!$AD$3</f>
        <v>0</v>
      </c>
      <c r="CR13" s="353"/>
      <c r="CS13" s="14"/>
      <c r="CT13" s="136"/>
      <c r="CU13" s="141" t="str">
        <f>IF(CT13=0,"",CT13*'Vergleich Holz Strom'!$B$2)</f>
        <v/>
      </c>
      <c r="CV13" s="354"/>
      <c r="CW13" s="366"/>
      <c r="CX13" s="346"/>
      <c r="CY13" s="346"/>
      <c r="CZ13" s="346"/>
      <c r="DA13" s="349"/>
      <c r="DB13" s="94"/>
      <c r="DC13" s="90">
        <f t="shared" si="53"/>
        <v>979.51133333333348</v>
      </c>
      <c r="DD13" s="94"/>
      <c r="DE13" s="90">
        <f t="shared" si="56"/>
        <v>-525.11254699999995</v>
      </c>
      <c r="DF13" s="100">
        <f ca="1">BE13+(SUM(CS2:CS13)/12)</f>
        <v>318.25</v>
      </c>
      <c r="DG13" s="351"/>
      <c r="DH13" s="8">
        <f t="shared" si="32"/>
        <v>0</v>
      </c>
      <c r="DI13" s="123">
        <f t="shared" si="22"/>
        <v>20800</v>
      </c>
      <c r="DJ13" s="2">
        <f t="shared" si="33"/>
        <v>0</v>
      </c>
      <c r="DK13" s="127">
        <v>7800</v>
      </c>
      <c r="DL13" s="2">
        <f t="shared" si="34"/>
        <v>650</v>
      </c>
      <c r="DM13" s="130">
        <f t="shared" si="35"/>
        <v>0</v>
      </c>
      <c r="DN13" s="3">
        <v>3000</v>
      </c>
      <c r="DO13" s="130">
        <f t="shared" si="45"/>
        <v>250</v>
      </c>
      <c r="DP13" s="4">
        <f t="shared" si="36"/>
        <v>0</v>
      </c>
      <c r="DQ13" s="118">
        <v>10000</v>
      </c>
      <c r="DR13" s="118">
        <f>$DQ$13*6%</f>
        <v>600</v>
      </c>
      <c r="DS13" s="196"/>
      <c r="DT13" s="317"/>
    </row>
    <row r="14" spans="1:124" s="39" customFormat="1" ht="15.75" customHeight="1" thickBot="1" x14ac:dyDescent="0.2">
      <c r="A14" s="415" t="s">
        <v>159</v>
      </c>
      <c r="B14" s="29">
        <v>43739</v>
      </c>
      <c r="C14" s="207">
        <f>'PV-Felder'!$B$11</f>
        <v>1099</v>
      </c>
      <c r="D14" s="358">
        <f>SUMIF(E14:E25,"&gt;0",C14:C25)</f>
        <v>0</v>
      </c>
      <c r="E14" s="61">
        <v>0</v>
      </c>
      <c r="F14" s="368">
        <f>SUM(E14:E25)</f>
        <v>0</v>
      </c>
      <c r="G14" s="58">
        <f t="shared" ca="1" si="0"/>
        <v>-1099</v>
      </c>
      <c r="H14" s="358">
        <f ca="1">IF(TODAY()&lt;B14,#N/A,F14-D14)</f>
        <v>0</v>
      </c>
      <c r="I14" s="61">
        <v>0</v>
      </c>
      <c r="J14" s="368">
        <f>SUM(I14:I25)</f>
        <v>0</v>
      </c>
      <c r="K14" s="61">
        <v>0</v>
      </c>
      <c r="L14" s="368">
        <f>SUM(K14:K25)</f>
        <v>0</v>
      </c>
      <c r="M14" s="66">
        <f t="shared" si="1"/>
        <v>0</v>
      </c>
      <c r="N14" s="372">
        <f>SUM(M14:M25)</f>
        <v>0</v>
      </c>
      <c r="O14" s="62"/>
      <c r="P14" s="283"/>
      <c r="Q14" s="287">
        <f t="shared" si="2"/>
        <v>0</v>
      </c>
      <c r="R14" s="333">
        <f>SUM(Q14:Q25)</f>
        <v>0</v>
      </c>
      <c r="S14" s="61">
        <v>0</v>
      </c>
      <c r="T14" s="375">
        <f>SUM(S14:S25)</f>
        <v>0</v>
      </c>
      <c r="U14" s="61">
        <v>0</v>
      </c>
      <c r="V14" s="341">
        <f>SUM(U14:U25)</f>
        <v>0</v>
      </c>
      <c r="W14" s="62">
        <v>0</v>
      </c>
      <c r="X14" s="341">
        <f>SUM(W14:W25)</f>
        <v>0</v>
      </c>
      <c r="Y14" s="211" t="e">
        <f t="shared" ref="Y14:Y37" si="59">IF(M14+S14+U14&gt;0,M14+S14+U14,#N/A)</f>
        <v>#N/A</v>
      </c>
      <c r="Z14" s="369">
        <f>N14+T14+V14</f>
        <v>0</v>
      </c>
      <c r="AA14" s="61">
        <v>0</v>
      </c>
      <c r="AB14" s="368">
        <f>SUM(AA14:AA25)</f>
        <v>0</v>
      </c>
      <c r="AC14" s="61">
        <v>0</v>
      </c>
      <c r="AD14" s="368">
        <f>SUM(AC14:AC25)</f>
        <v>0</v>
      </c>
      <c r="AE14" s="74" t="e">
        <f t="shared" si="38"/>
        <v>#N/A</v>
      </c>
      <c r="AF14" s="355" t="e">
        <f>IF(SUMIF(AE14:AE25,"&gt;0")&gt;0,SUMIF(AE14:AE25,"&gt;0")/COUNTIF(AE14:AE25,"&gt;0"),#N/A)</f>
        <v>#N/A</v>
      </c>
      <c r="AG14" s="74" t="e">
        <f t="shared" si="3"/>
        <v>#N/A</v>
      </c>
      <c r="AH14" s="355" t="e">
        <f>IF(SUMIF(AG14:AG25,"&gt;0")&gt;0,SUMIF(AG14:AG25,"&gt;0")/COUNTIF(AG14:AG25,"&gt;0"),#N/A)</f>
        <v>#N/A</v>
      </c>
      <c r="AI14" s="222">
        <f>AI13</f>
        <v>15.18</v>
      </c>
      <c r="AJ14" s="81">
        <f t="shared" ref="AJ14:AM14" si="60">AJ13</f>
        <v>0.26750000000000002</v>
      </c>
      <c r="AK14" s="32">
        <f t="shared" si="60"/>
        <v>4.916666666666667</v>
      </c>
      <c r="AL14" s="82">
        <f t="shared" si="60"/>
        <v>125</v>
      </c>
      <c r="AM14" s="81">
        <f t="shared" si="60"/>
        <v>0.1147</v>
      </c>
      <c r="AN14" s="82">
        <f t="shared" si="55"/>
        <v>74</v>
      </c>
      <c r="AO14" s="81">
        <v>0.21099999999999999</v>
      </c>
      <c r="AP14" s="89">
        <v>12</v>
      </c>
      <c r="AQ14" s="64">
        <f t="shared" si="47"/>
        <v>21.5</v>
      </c>
      <c r="AR14" s="64">
        <f t="shared" si="48"/>
        <v>11.5</v>
      </c>
      <c r="AS14" s="88">
        <f t="shared" si="50"/>
        <v>1.2669999999999999</v>
      </c>
      <c r="AT14" s="91">
        <f>AT13</f>
        <v>200</v>
      </c>
      <c r="AU14" s="96"/>
      <c r="AV14" s="97"/>
      <c r="AW14" s="58">
        <f t="shared" si="4"/>
        <v>0</v>
      </c>
      <c r="AX14" s="368">
        <f>SUM(AW14:AW25)</f>
        <v>0</v>
      </c>
      <c r="AY14" s="101">
        <f t="shared" si="52"/>
        <v>4.916666666666667</v>
      </c>
      <c r="AZ14" s="350">
        <f>SUM(AY14:AY25)</f>
        <v>89.000000000000014</v>
      </c>
      <c r="BA14" s="103">
        <f>BA13-AY14</f>
        <v>-79.195880333333349</v>
      </c>
      <c r="BB14" s="33">
        <f t="shared" si="5"/>
        <v>-4.916666666666667</v>
      </c>
      <c r="BC14" s="386">
        <f>SUM(AY14:AY25)/12</f>
        <v>7.4166666666666679</v>
      </c>
      <c r="BD14" s="91">
        <f t="shared" ca="1" si="6"/>
        <v>4.916666666666667</v>
      </c>
      <c r="BE14" s="91">
        <f t="shared" ca="1" si="7"/>
        <v>204.91666666666666</v>
      </c>
      <c r="BF14" s="91">
        <f t="shared" si="8"/>
        <v>21.833333333333336</v>
      </c>
      <c r="BG14" s="91">
        <f t="shared" ca="1" si="9"/>
        <v>16.916666666666668</v>
      </c>
      <c r="BH14" s="91">
        <f t="shared" ref="BH14:BH77" ca="1" si="61">BF14-BE14</f>
        <v>-183.08333333333331</v>
      </c>
      <c r="BI14" s="35">
        <f t="shared" ca="1" si="40"/>
        <v>204.91666666666666</v>
      </c>
      <c r="BJ14" s="104">
        <f>((M14+Q14)*AJ14+AK14)+((U14-W14+W14/('Vergleich Holz Strom'!$B$8-0.6))*AO14+AP14)</f>
        <v>16.916666666666668</v>
      </c>
      <c r="BK14" s="35">
        <f t="shared" ca="1" si="11"/>
        <v>-188</v>
      </c>
      <c r="BL14" s="378">
        <f ca="1">SUMIF(BK14:BK25,"&lt;&gt;#NV",BK14:BK25)</f>
        <v>-2648</v>
      </c>
      <c r="BM14" s="104">
        <f t="shared" ca="1" si="27"/>
        <v>-2523.1125469999997</v>
      </c>
      <c r="BN14" s="40">
        <f ca="1">IF(ISNUMBER(BK14),BN13+SUMIF(BK14:BK25,"&lt;&gt;#NV",BK14:BK25)/COUNTIF(BK14:BK25,"&lt;&gt;#NV"),#N/A)</f>
        <v>-2555.7792136666653</v>
      </c>
      <c r="BO14" s="10">
        <f t="shared" ref="BO14:BO34" ca="1" si="62">BK14+AT14+AU14</f>
        <v>12</v>
      </c>
      <c r="BP14" s="105">
        <f t="shared" ca="1" si="29"/>
        <v>-45330.752546999996</v>
      </c>
      <c r="BQ14" s="104">
        <f t="shared" ref="BQ14:BQ20" ca="1" si="63">IF(B15&lt;=TODAY(),BP14,IF(E14=0,BQ13+BQ2-BQ1,BP14))</f>
        <v>-45330.752546999996</v>
      </c>
      <c r="BR14" s="40">
        <f t="shared" si="12"/>
        <v>4.916666666666667</v>
      </c>
      <c r="BS14" s="311"/>
      <c r="BT14" s="307"/>
      <c r="BU14" s="295">
        <f t="shared" si="13"/>
        <v>0</v>
      </c>
      <c r="BV14" s="322">
        <f>SUM(BU14:BU25)</f>
        <v>0</v>
      </c>
      <c r="BW14" s="300">
        <f t="shared" si="14"/>
        <v>0</v>
      </c>
      <c r="BX14" s="305">
        <f t="shared" si="15"/>
        <v>0</v>
      </c>
      <c r="BY14" s="381">
        <f>SUM(BX14:BX25)</f>
        <v>0</v>
      </c>
      <c r="BZ14" s="300">
        <f t="shared" si="30"/>
        <v>0</v>
      </c>
      <c r="CA14" s="295">
        <f t="shared" si="42"/>
        <v>0</v>
      </c>
      <c r="CB14" s="322">
        <f>SUM(CA14:CA25)</f>
        <v>0</v>
      </c>
      <c r="CC14" s="314">
        <f t="shared" si="43"/>
        <v>0</v>
      </c>
      <c r="CD14" s="325">
        <f>SUM(CC14:CC25)</f>
        <v>0</v>
      </c>
      <c r="CE14" s="299">
        <f t="shared" si="17"/>
        <v>0</v>
      </c>
      <c r="CF14" s="284">
        <f t="shared" si="44"/>
        <v>0</v>
      </c>
      <c r="CG14" s="328">
        <f>SUM(CF14:CF25)</f>
        <v>0</v>
      </c>
      <c r="CH14" s="302">
        <f t="shared" si="58"/>
        <v>0</v>
      </c>
      <c r="CI14" s="109">
        <f t="shared" si="19"/>
        <v>0</v>
      </c>
      <c r="CJ14" s="201">
        <f t="shared" si="20"/>
        <v>0</v>
      </c>
      <c r="CK14" s="197">
        <f t="shared" si="51"/>
        <v>0</v>
      </c>
      <c r="CL14" s="203">
        <f t="shared" si="21"/>
        <v>12</v>
      </c>
      <c r="CM14" s="37">
        <f>U14*Jahresdaten!$AD$2</f>
        <v>0</v>
      </c>
      <c r="CN14" s="113">
        <f>CJ14*Jahresdaten!$AD$2</f>
        <v>0</v>
      </c>
      <c r="CO14" s="384">
        <f>CW14*Jahresdaten!$AD$2</f>
        <v>1002.4090341671405</v>
      </c>
      <c r="CP14" s="117">
        <f>U14*Jahresdaten!$AD$3</f>
        <v>0</v>
      </c>
      <c r="CQ14" s="36">
        <f>CJ14*Jahresdaten!$AD$3</f>
        <v>0</v>
      </c>
      <c r="CR14" s="385">
        <f>CW14*Jahresdaten!$AD$3</f>
        <v>365.59096583285935</v>
      </c>
      <c r="CS14" s="34">
        <v>1368</v>
      </c>
      <c r="CT14" s="137">
        <v>14</v>
      </c>
      <c r="CU14" s="140">
        <f>IF(CT14=0,"",CT14*'Vergleich Holz Strom'!$B$2)</f>
        <v>30100</v>
      </c>
      <c r="CV14" s="122" t="s">
        <v>7</v>
      </c>
      <c r="CW14" s="384">
        <f>CV15+CV21</f>
        <v>1368</v>
      </c>
      <c r="CX14" s="344">
        <f>SUM(CS14:CS25)/SUM(CU14:CU25)*(SUM(CU14:CU25)+(V14*('Vergleich Holz Strom'!$B$8-0.6)/'Vergleich Holz Strom'!$E$6))</f>
        <v>1368</v>
      </c>
      <c r="CY14" s="344">
        <f>SUM(CU14:CU25)*'Vergleich Holz Strom'!$E$6/('Vergleich Holz Strom'!$B$8-0.6)*(SUM(AJ14:AJ25)/12)+CV15</f>
        <v>1657.7132352941178</v>
      </c>
      <c r="CZ14" s="344">
        <f>SUM(CU14:CU25)*'Vergleich Holz Strom'!$E$6/('Vergleich Holz Strom'!$B$8-0.6)*SUM(AM14:AM25)/12+SUM(CK14:CK25)</f>
        <v>679.39707089142883</v>
      </c>
      <c r="DA14" s="347">
        <f>SUM(CU14:CU25)*'Vergleich Holz Strom'!$E$6/('Vergleich Holz Strom'!$B$8-0.6)*(SUM(AO14:AO25)/12)+SUM(CL14:CL25)</f>
        <v>1451.5794117647058</v>
      </c>
      <c r="DB14" s="96"/>
      <c r="DC14" s="88">
        <f t="shared" si="53"/>
        <v>1099.5946666666666</v>
      </c>
      <c r="DD14" s="96"/>
      <c r="DE14" s="88">
        <f t="shared" si="56"/>
        <v>-599.11254699999995</v>
      </c>
      <c r="DF14" s="101">
        <f ca="1">BE14+(SUM(CS14:CS25)/12)</f>
        <v>318.91666666666663</v>
      </c>
      <c r="DG14" s="350">
        <f ca="1">SUMIF(DF14:DF25,"&gt;0")</f>
        <v>4248.9999999999991</v>
      </c>
      <c r="DH14" s="30">
        <f>M14+S14+U14</f>
        <v>0</v>
      </c>
      <c r="DI14" s="124">
        <f t="shared" ref="DI14:DI25" si="64">DK14+DN14+DQ14</f>
        <v>1850</v>
      </c>
      <c r="DJ14" s="31">
        <f>M14</f>
        <v>0</v>
      </c>
      <c r="DK14" s="128">
        <f>DK25/12*1</f>
        <v>650</v>
      </c>
      <c r="DL14" s="31">
        <f>DL13</f>
        <v>650</v>
      </c>
      <c r="DM14" s="131">
        <f>S14</f>
        <v>0</v>
      </c>
      <c r="DN14" s="38">
        <f>DN25/12*1</f>
        <v>250</v>
      </c>
      <c r="DO14" s="131">
        <f>DO13</f>
        <v>250</v>
      </c>
      <c r="DP14" s="37">
        <f>U14</f>
        <v>0</v>
      </c>
      <c r="DQ14" s="116">
        <f>DR14</f>
        <v>950</v>
      </c>
      <c r="DR14" s="116">
        <f>DR2</f>
        <v>950</v>
      </c>
    </row>
    <row r="15" spans="1:124" ht="14.25" customHeight="1" thickBot="1" x14ac:dyDescent="0.2">
      <c r="A15" s="416"/>
      <c r="B15" s="16">
        <v>43770</v>
      </c>
      <c r="C15" s="207">
        <f>'PV-Felder'!$B$12</f>
        <v>565.1</v>
      </c>
      <c r="D15" s="351"/>
      <c r="E15" s="61">
        <v>0</v>
      </c>
      <c r="F15" s="351"/>
      <c r="G15" s="56">
        <f t="shared" ca="1" si="0"/>
        <v>-565.1</v>
      </c>
      <c r="H15" s="351"/>
      <c r="I15" s="61">
        <v>0</v>
      </c>
      <c r="J15" s="351"/>
      <c r="K15" s="61">
        <v>0</v>
      </c>
      <c r="L15" s="351"/>
      <c r="M15" s="65">
        <f t="shared" si="1"/>
        <v>0</v>
      </c>
      <c r="N15" s="373"/>
      <c r="O15" s="61"/>
      <c r="P15" s="288"/>
      <c r="Q15" s="286">
        <f t="shared" si="2"/>
        <v>0</v>
      </c>
      <c r="R15" s="334"/>
      <c r="S15" s="61">
        <v>0</v>
      </c>
      <c r="T15" s="376"/>
      <c r="U15" s="61">
        <v>0</v>
      </c>
      <c r="V15" s="342"/>
      <c r="W15" s="61">
        <v>0</v>
      </c>
      <c r="X15" s="342"/>
      <c r="Y15" s="211" t="e">
        <f t="shared" si="59"/>
        <v>#N/A</v>
      </c>
      <c r="Z15" s="370"/>
      <c r="AA15" s="61">
        <v>0</v>
      </c>
      <c r="AB15" s="351"/>
      <c r="AC15" s="61">
        <v>0</v>
      </c>
      <c r="AD15" s="351"/>
      <c r="AE15" s="73" t="e">
        <f t="shared" si="38"/>
        <v>#N/A</v>
      </c>
      <c r="AF15" s="356"/>
      <c r="AG15" s="73" t="e">
        <f t="shared" si="3"/>
        <v>#N/A</v>
      </c>
      <c r="AH15" s="356"/>
      <c r="AI15" s="221">
        <f>AI14</f>
        <v>15.18</v>
      </c>
      <c r="AJ15" s="78">
        <f t="shared" ref="AJ15:AM16" si="65">AJ14</f>
        <v>0.26750000000000002</v>
      </c>
      <c r="AK15" s="79">
        <f t="shared" si="65"/>
        <v>4.916666666666667</v>
      </c>
      <c r="AL15" s="80">
        <f t="shared" si="65"/>
        <v>125</v>
      </c>
      <c r="AM15" s="78">
        <f t="shared" si="65"/>
        <v>0.1147</v>
      </c>
      <c r="AN15" s="80">
        <f t="shared" si="55"/>
        <v>74</v>
      </c>
      <c r="AO15" s="78">
        <f t="shared" ref="AO15:AT16" si="66">AO14</f>
        <v>0.21099999999999999</v>
      </c>
      <c r="AP15" s="88">
        <f t="shared" si="66"/>
        <v>12</v>
      </c>
      <c r="AQ15" s="64">
        <f t="shared" si="47"/>
        <v>21.5</v>
      </c>
      <c r="AR15" s="64">
        <f t="shared" si="48"/>
        <v>11.5</v>
      </c>
      <c r="AS15" s="88">
        <f t="shared" si="50"/>
        <v>1.2669999999999999</v>
      </c>
      <c r="AT15" s="91">
        <f t="shared" si="66"/>
        <v>200</v>
      </c>
      <c r="AU15" s="94"/>
      <c r="AV15" s="95"/>
      <c r="AW15" s="56">
        <f t="shared" si="4"/>
        <v>0</v>
      </c>
      <c r="AX15" s="351"/>
      <c r="AY15" s="100">
        <f t="shared" si="52"/>
        <v>4.916666666666667</v>
      </c>
      <c r="AZ15" s="360"/>
      <c r="BA15" s="91">
        <f t="shared" ref="BA15:BA25" si="67">BA14-AY15</f>
        <v>-84.112547000000021</v>
      </c>
      <c r="BB15" s="5">
        <f t="shared" si="5"/>
        <v>-4.916666666666667</v>
      </c>
      <c r="BC15" s="363"/>
      <c r="BD15" s="91">
        <f t="shared" ca="1" si="6"/>
        <v>4.916666666666667</v>
      </c>
      <c r="BE15" s="91">
        <f t="shared" ca="1" si="7"/>
        <v>204.91666666666666</v>
      </c>
      <c r="BF15" s="91">
        <f t="shared" si="8"/>
        <v>21.833333333333336</v>
      </c>
      <c r="BG15" s="91">
        <f t="shared" ca="1" si="9"/>
        <v>16.916666666666668</v>
      </c>
      <c r="BH15" s="91">
        <f t="shared" ca="1" si="61"/>
        <v>-183.08333333333331</v>
      </c>
      <c r="BI15" s="10">
        <f t="shared" ca="1" si="40"/>
        <v>204.91666666666666</v>
      </c>
      <c r="BJ15" s="104">
        <f>((M15+Q15)*AJ15+AK15)+((U15-W15+W15/('Vergleich Holz Strom'!$B$8-0.6))*AO15+AP15)</f>
        <v>16.916666666666668</v>
      </c>
      <c r="BK15" s="10">
        <f t="shared" ca="1" si="11"/>
        <v>-188</v>
      </c>
      <c r="BL15" s="379"/>
      <c r="BM15" s="104">
        <f t="shared" ca="1" si="27"/>
        <v>-2711.1125469999997</v>
      </c>
      <c r="BN15" s="40">
        <f ca="1">IF(ISNUMBER(BK15),BN14+SUMIF(BK14:BK25,"&lt;&gt;#NV",BK14:BK25)/COUNTIF(BK14:BK25,"&lt;&gt;#NV"),#N/A)</f>
        <v>-2776.4458803333318</v>
      </c>
      <c r="BO15" s="10">
        <f t="shared" ca="1" si="62"/>
        <v>12</v>
      </c>
      <c r="BP15" s="104">
        <f t="shared" ca="1" si="29"/>
        <v>-45318.752546999996</v>
      </c>
      <c r="BQ15" s="104">
        <f t="shared" ca="1" si="63"/>
        <v>-45318.752546999996</v>
      </c>
      <c r="BR15" s="10">
        <f t="shared" si="12"/>
        <v>4.916666666666667</v>
      </c>
      <c r="BS15" s="311"/>
      <c r="BT15" s="307"/>
      <c r="BU15" s="295">
        <f t="shared" si="13"/>
        <v>0</v>
      </c>
      <c r="BV15" s="323"/>
      <c r="BW15" s="299">
        <f t="shared" si="14"/>
        <v>0</v>
      </c>
      <c r="BX15" s="295">
        <f t="shared" si="15"/>
        <v>0</v>
      </c>
      <c r="BY15" s="382"/>
      <c r="BZ15" s="299">
        <f t="shared" si="30"/>
        <v>0</v>
      </c>
      <c r="CA15" s="295">
        <f t="shared" si="42"/>
        <v>0</v>
      </c>
      <c r="CB15" s="323"/>
      <c r="CC15" s="314">
        <f>Q15/AQ15*100+BS15/AQ15*100</f>
        <v>0</v>
      </c>
      <c r="CD15" s="326"/>
      <c r="CE15" s="299">
        <f t="shared" si="17"/>
        <v>0</v>
      </c>
      <c r="CF15" s="284">
        <f>CE15-CA15</f>
        <v>0</v>
      </c>
      <c r="CG15" s="323"/>
      <c r="CH15" s="302">
        <f t="shared" si="58"/>
        <v>0</v>
      </c>
      <c r="CI15" s="108">
        <f t="shared" si="19"/>
        <v>0</v>
      </c>
      <c r="CJ15" s="200">
        <f t="shared" si="20"/>
        <v>0</v>
      </c>
      <c r="CK15" s="197">
        <f t="shared" si="51"/>
        <v>0</v>
      </c>
      <c r="CL15" s="203">
        <f t="shared" si="21"/>
        <v>12</v>
      </c>
      <c r="CM15" s="4">
        <f>U15*Jahresdaten!$AD$2</f>
        <v>0</v>
      </c>
      <c r="CN15" s="112">
        <f>CJ15*Jahresdaten!$AD$2</f>
        <v>0</v>
      </c>
      <c r="CO15" s="366"/>
      <c r="CP15" s="116">
        <f>U15*Jahresdaten!$AD$3</f>
        <v>0</v>
      </c>
      <c r="CQ15" s="12">
        <f>CJ15*Jahresdaten!$AD$3</f>
        <v>0</v>
      </c>
      <c r="CR15" s="353"/>
      <c r="CS15" s="14"/>
      <c r="CT15" s="136"/>
      <c r="CU15" s="140" t="str">
        <f>IF(CT15=0,"",CT15*'Vergleich Holz Strom'!$B$2)</f>
        <v/>
      </c>
      <c r="CV15" s="353">
        <f>SUM(CJ14:CJ25)</f>
        <v>0</v>
      </c>
      <c r="CW15" s="366"/>
      <c r="CX15" s="345"/>
      <c r="CY15" s="345"/>
      <c r="CZ15" s="345"/>
      <c r="DA15" s="348"/>
      <c r="DB15" s="94"/>
      <c r="DC15" s="88">
        <f t="shared" si="53"/>
        <v>1219.6779999999999</v>
      </c>
      <c r="DD15" s="94"/>
      <c r="DE15" s="88">
        <f t="shared" si="56"/>
        <v>-673.11254699999995</v>
      </c>
      <c r="DF15" s="100">
        <f ca="1">BE15+(SUM(CS14:CS25)/12)</f>
        <v>318.91666666666663</v>
      </c>
      <c r="DG15" s="351"/>
      <c r="DH15" s="8">
        <f t="shared" ref="DH15:DH25" si="68">DH14+M15+S15+U15</f>
        <v>0</v>
      </c>
      <c r="DI15" s="123">
        <f t="shared" si="64"/>
        <v>3550</v>
      </c>
      <c r="DJ15" s="2">
        <f t="shared" ref="DJ15:DJ25" si="69">DJ14+M15</f>
        <v>0</v>
      </c>
      <c r="DK15" s="127">
        <f>DK25/12*2</f>
        <v>1300</v>
      </c>
      <c r="DL15" s="2">
        <f t="shared" ref="DL15:DL25" si="70">DL14</f>
        <v>650</v>
      </c>
      <c r="DM15" s="130">
        <f t="shared" ref="DM15:DM25" si="71">DM14+S15</f>
        <v>0</v>
      </c>
      <c r="DN15" s="3">
        <f>DN25/12*2</f>
        <v>500</v>
      </c>
      <c r="DO15" s="130">
        <f t="shared" ref="DO15:DO25" si="72">DO14</f>
        <v>250</v>
      </c>
      <c r="DP15" s="4">
        <f t="shared" ref="DP15:DP25" si="73">DP14+U15</f>
        <v>0</v>
      </c>
      <c r="DQ15" s="116">
        <f t="shared" ref="DQ15:DQ24" si="74">DQ14+DR15</f>
        <v>1750</v>
      </c>
      <c r="DR15" s="116">
        <f>DR3</f>
        <v>800</v>
      </c>
    </row>
    <row r="16" spans="1:124" ht="14.25" customHeight="1" thickBot="1" x14ac:dyDescent="0.2">
      <c r="A16" s="416"/>
      <c r="B16" s="16">
        <v>43800</v>
      </c>
      <c r="C16" s="207">
        <f>'PV-Felder'!$B$13</f>
        <v>429.9</v>
      </c>
      <c r="D16" s="351"/>
      <c r="E16" s="61">
        <v>0</v>
      </c>
      <c r="F16" s="351"/>
      <c r="G16" s="56">
        <f t="shared" ca="1" si="0"/>
        <v>-429.9</v>
      </c>
      <c r="H16" s="351"/>
      <c r="I16" s="61">
        <v>0</v>
      </c>
      <c r="J16" s="351"/>
      <c r="K16" s="61">
        <v>0</v>
      </c>
      <c r="L16" s="351"/>
      <c r="M16" s="65">
        <f t="shared" si="1"/>
        <v>0</v>
      </c>
      <c r="N16" s="373"/>
      <c r="O16" s="61"/>
      <c r="P16" s="288"/>
      <c r="Q16" s="286">
        <f t="shared" si="2"/>
        <v>0</v>
      </c>
      <c r="R16" s="334"/>
      <c r="S16" s="61">
        <v>0</v>
      </c>
      <c r="T16" s="376"/>
      <c r="U16" s="61">
        <v>0</v>
      </c>
      <c r="V16" s="342"/>
      <c r="W16" s="61">
        <v>0</v>
      </c>
      <c r="X16" s="342"/>
      <c r="Y16" s="211" t="e">
        <f t="shared" si="59"/>
        <v>#N/A</v>
      </c>
      <c r="Z16" s="370"/>
      <c r="AA16" s="61">
        <v>0</v>
      </c>
      <c r="AB16" s="351"/>
      <c r="AC16" s="61">
        <v>0</v>
      </c>
      <c r="AD16" s="351"/>
      <c r="AE16" s="73" t="e">
        <f t="shared" si="38"/>
        <v>#N/A</v>
      </c>
      <c r="AF16" s="356"/>
      <c r="AG16" s="73" t="e">
        <f t="shared" si="3"/>
        <v>#N/A</v>
      </c>
      <c r="AH16" s="356"/>
      <c r="AI16" s="221">
        <f t="shared" ref="AI16:AI24" si="75">AI15</f>
        <v>15.18</v>
      </c>
      <c r="AJ16" s="78">
        <f t="shared" si="65"/>
        <v>0.26750000000000002</v>
      </c>
      <c r="AK16" s="79">
        <f t="shared" si="65"/>
        <v>4.916666666666667</v>
      </c>
      <c r="AL16" s="80">
        <f t="shared" si="65"/>
        <v>125</v>
      </c>
      <c r="AM16" s="78">
        <f t="shared" si="65"/>
        <v>0.1147</v>
      </c>
      <c r="AN16" s="80">
        <f t="shared" si="55"/>
        <v>74</v>
      </c>
      <c r="AO16" s="78">
        <f t="shared" si="66"/>
        <v>0.21099999999999999</v>
      </c>
      <c r="AP16" s="88">
        <f t="shared" si="66"/>
        <v>12</v>
      </c>
      <c r="AQ16" s="64">
        <f t="shared" si="47"/>
        <v>21.5</v>
      </c>
      <c r="AR16" s="64">
        <f t="shared" si="48"/>
        <v>11.5</v>
      </c>
      <c r="AS16" s="88">
        <f t="shared" si="50"/>
        <v>1.2669999999999999</v>
      </c>
      <c r="AT16" s="91">
        <f t="shared" si="66"/>
        <v>200</v>
      </c>
      <c r="AU16" s="94"/>
      <c r="AV16" s="95"/>
      <c r="AW16" s="56">
        <f t="shared" si="4"/>
        <v>0</v>
      </c>
      <c r="AX16" s="351"/>
      <c r="AY16" s="100">
        <f t="shared" si="52"/>
        <v>4.916666666666667</v>
      </c>
      <c r="AZ16" s="360"/>
      <c r="BA16" s="91">
        <f t="shared" si="67"/>
        <v>-89.029213666666692</v>
      </c>
      <c r="BB16" s="5">
        <f t="shared" si="5"/>
        <v>-4.916666666666667</v>
      </c>
      <c r="BC16" s="363"/>
      <c r="BD16" s="91">
        <f t="shared" ca="1" si="6"/>
        <v>4.916666666666667</v>
      </c>
      <c r="BE16" s="91">
        <f t="shared" ca="1" si="7"/>
        <v>204.91666666666666</v>
      </c>
      <c r="BF16" s="91">
        <f t="shared" si="8"/>
        <v>21.833333333333336</v>
      </c>
      <c r="BG16" s="91">
        <f t="shared" ca="1" si="9"/>
        <v>16.916666666666668</v>
      </c>
      <c r="BH16" s="91">
        <f t="shared" ca="1" si="61"/>
        <v>-183.08333333333331</v>
      </c>
      <c r="BI16" s="10">
        <f t="shared" ca="1" si="40"/>
        <v>204.91666666666666</v>
      </c>
      <c r="BJ16" s="104">
        <f>((M16+Q16)*AJ16+AK16)+((U16-W16+W16/('Vergleich Holz Strom'!$B$8-0.6))*AO16+AP16)</f>
        <v>16.916666666666668</v>
      </c>
      <c r="BK16" s="10">
        <f t="shared" ca="1" si="11"/>
        <v>-188</v>
      </c>
      <c r="BL16" s="379"/>
      <c r="BM16" s="104">
        <f t="shared" ca="1" si="27"/>
        <v>-2899.1125469999997</v>
      </c>
      <c r="BN16" s="40">
        <f ca="1">IF(ISNUMBER(BK16),BN15+SUMIF(BK14:BK25,"&lt;&gt;#NV",BK14:BK25)/COUNTIF(BK14:BK25,"&lt;&gt;#NV"),#N/A)</f>
        <v>-2997.1125469999984</v>
      </c>
      <c r="BO16" s="10">
        <f t="shared" ca="1" si="62"/>
        <v>12</v>
      </c>
      <c r="BP16" s="104">
        <f t="shared" ca="1" si="29"/>
        <v>-45306.752546999996</v>
      </c>
      <c r="BQ16" s="104">
        <f t="shared" ca="1" si="63"/>
        <v>-45306.752546999996</v>
      </c>
      <c r="BR16" s="10">
        <f t="shared" si="12"/>
        <v>4.916666666666667</v>
      </c>
      <c r="BS16" s="311"/>
      <c r="BT16" s="307"/>
      <c r="BU16" s="295">
        <f t="shared" si="13"/>
        <v>0</v>
      </c>
      <c r="BV16" s="323"/>
      <c r="BW16" s="299">
        <f t="shared" si="14"/>
        <v>0</v>
      </c>
      <c r="BX16" s="295">
        <f t="shared" si="15"/>
        <v>0</v>
      </c>
      <c r="BY16" s="382"/>
      <c r="BZ16" s="299">
        <f t="shared" si="30"/>
        <v>0</v>
      </c>
      <c r="CA16" s="295">
        <f t="shared" si="42"/>
        <v>0</v>
      </c>
      <c r="CB16" s="323"/>
      <c r="CC16" s="314">
        <f t="shared" ref="CC16:CC79" si="76">Q16/AQ16*100+BS16/AQ16*100</f>
        <v>0</v>
      </c>
      <c r="CD16" s="326"/>
      <c r="CE16" s="299">
        <f t="shared" si="17"/>
        <v>0</v>
      </c>
      <c r="CF16" s="284">
        <f t="shared" ref="CF16:CF79" si="77">CE16-CA16</f>
        <v>0</v>
      </c>
      <c r="CG16" s="323"/>
      <c r="CH16" s="302">
        <f t="shared" si="58"/>
        <v>0</v>
      </c>
      <c r="CI16" s="108">
        <f t="shared" si="19"/>
        <v>0</v>
      </c>
      <c r="CJ16" s="200">
        <f t="shared" si="20"/>
        <v>0</v>
      </c>
      <c r="CK16" s="197">
        <f t="shared" si="51"/>
        <v>0</v>
      </c>
      <c r="CL16" s="203">
        <f t="shared" si="21"/>
        <v>12</v>
      </c>
      <c r="CM16" s="4">
        <f>U16*Jahresdaten!$AD$2</f>
        <v>0</v>
      </c>
      <c r="CN16" s="112">
        <f>CJ16*Jahresdaten!$AD$2</f>
        <v>0</v>
      </c>
      <c r="CO16" s="366"/>
      <c r="CP16" s="116">
        <f>U16*Jahresdaten!$AD$3</f>
        <v>0</v>
      </c>
      <c r="CQ16" s="12">
        <f>CJ16*Jahresdaten!$AD$3</f>
        <v>0</v>
      </c>
      <c r="CR16" s="353"/>
      <c r="CS16" s="14"/>
      <c r="CT16" s="136"/>
      <c r="CU16" s="140" t="str">
        <f>IF(CT16=0,"",CT16*'Vergleich Holz Strom'!$B$2)</f>
        <v/>
      </c>
      <c r="CV16" s="353"/>
      <c r="CW16" s="366"/>
      <c r="CX16" s="345"/>
      <c r="CY16" s="345"/>
      <c r="CZ16" s="345"/>
      <c r="DA16" s="348"/>
      <c r="DB16" s="94"/>
      <c r="DC16" s="88">
        <f t="shared" si="53"/>
        <v>1339.7613333333331</v>
      </c>
      <c r="DD16" s="94"/>
      <c r="DE16" s="88">
        <f t="shared" si="56"/>
        <v>-747.11254699999995</v>
      </c>
      <c r="DF16" s="100">
        <f ca="1">BE16+(SUM(CS14:CS25)/12)</f>
        <v>318.91666666666663</v>
      </c>
      <c r="DG16" s="351"/>
      <c r="DH16" s="8">
        <f t="shared" si="68"/>
        <v>0</v>
      </c>
      <c r="DI16" s="123">
        <f t="shared" si="64"/>
        <v>5300</v>
      </c>
      <c r="DJ16" s="2">
        <f t="shared" si="69"/>
        <v>0</v>
      </c>
      <c r="DK16" s="127">
        <f>DK25/12*3</f>
        <v>1950</v>
      </c>
      <c r="DL16" s="2">
        <f t="shared" si="70"/>
        <v>650</v>
      </c>
      <c r="DM16" s="130">
        <f t="shared" si="71"/>
        <v>0</v>
      </c>
      <c r="DN16" s="3">
        <f>DN25/12*3</f>
        <v>750</v>
      </c>
      <c r="DO16" s="130">
        <f t="shared" si="72"/>
        <v>250</v>
      </c>
      <c r="DP16" s="4">
        <f t="shared" si="73"/>
        <v>0</v>
      </c>
      <c r="DQ16" s="116">
        <f t="shared" si="74"/>
        <v>2600</v>
      </c>
      <c r="DR16" s="116">
        <f t="shared" ref="DR16:DR24" si="78">DR4</f>
        <v>850.00000000000011</v>
      </c>
    </row>
    <row r="17" spans="1:122" ht="14.25" customHeight="1" thickBot="1" x14ac:dyDescent="0.2">
      <c r="A17" s="416"/>
      <c r="B17" s="16">
        <v>43831</v>
      </c>
      <c r="C17" s="207">
        <f>'PV-Felder'!$B$2</f>
        <v>501.40000000000003</v>
      </c>
      <c r="D17" s="351"/>
      <c r="E17" s="61">
        <v>0</v>
      </c>
      <c r="F17" s="351"/>
      <c r="G17" s="56">
        <f t="shared" ca="1" si="0"/>
        <v>-501.40000000000003</v>
      </c>
      <c r="H17" s="351"/>
      <c r="I17" s="61">
        <v>0</v>
      </c>
      <c r="J17" s="351"/>
      <c r="K17" s="61">
        <v>0</v>
      </c>
      <c r="L17" s="351"/>
      <c r="M17" s="65">
        <f t="shared" si="1"/>
        <v>0</v>
      </c>
      <c r="N17" s="373"/>
      <c r="O17" s="61"/>
      <c r="P17" s="288"/>
      <c r="Q17" s="286">
        <f t="shared" si="2"/>
        <v>0</v>
      </c>
      <c r="R17" s="334"/>
      <c r="S17" s="61">
        <v>0</v>
      </c>
      <c r="T17" s="376"/>
      <c r="U17" s="61">
        <v>0</v>
      </c>
      <c r="V17" s="342"/>
      <c r="W17" s="61">
        <v>0</v>
      </c>
      <c r="X17" s="342"/>
      <c r="Y17" s="211" t="e">
        <f t="shared" si="59"/>
        <v>#N/A</v>
      </c>
      <c r="Z17" s="370"/>
      <c r="AA17" s="61">
        <v>0</v>
      </c>
      <c r="AB17" s="351"/>
      <c r="AC17" s="61">
        <v>0</v>
      </c>
      <c r="AD17" s="351"/>
      <c r="AE17" s="73" t="e">
        <f t="shared" si="38"/>
        <v>#N/A</v>
      </c>
      <c r="AF17" s="356"/>
      <c r="AG17" s="73" t="e">
        <f t="shared" si="3"/>
        <v>#N/A</v>
      </c>
      <c r="AH17" s="356"/>
      <c r="AI17" s="221">
        <f t="shared" si="75"/>
        <v>15.18</v>
      </c>
      <c r="AJ17" s="78">
        <f t="shared" ref="AJ17:AP17" si="79">AJ16</f>
        <v>0.26750000000000002</v>
      </c>
      <c r="AK17" s="79">
        <f t="shared" si="79"/>
        <v>4.916666666666667</v>
      </c>
      <c r="AL17" s="80">
        <f t="shared" si="79"/>
        <v>125</v>
      </c>
      <c r="AM17" s="78">
        <f t="shared" si="79"/>
        <v>0.1147</v>
      </c>
      <c r="AN17" s="80">
        <f t="shared" si="55"/>
        <v>74</v>
      </c>
      <c r="AO17" s="78">
        <f t="shared" si="79"/>
        <v>0.21099999999999999</v>
      </c>
      <c r="AP17" s="88">
        <f t="shared" si="79"/>
        <v>12</v>
      </c>
      <c r="AQ17" s="64">
        <f t="shared" si="47"/>
        <v>21.5</v>
      </c>
      <c r="AR17" s="64">
        <f t="shared" si="48"/>
        <v>11.5</v>
      </c>
      <c r="AS17" s="88">
        <v>1.1830000000000001</v>
      </c>
      <c r="AT17" s="91">
        <f t="shared" ref="AT17:AT25" si="80">AT16</f>
        <v>200</v>
      </c>
      <c r="AU17" s="94"/>
      <c r="AV17" s="95"/>
      <c r="AW17" s="56">
        <f t="shared" si="4"/>
        <v>0</v>
      </c>
      <c r="AX17" s="351"/>
      <c r="AY17" s="100">
        <f t="shared" si="52"/>
        <v>4.916666666666667</v>
      </c>
      <c r="AZ17" s="360"/>
      <c r="BA17" s="91">
        <f t="shared" si="67"/>
        <v>-93.945880333333363</v>
      </c>
      <c r="BB17" s="5">
        <f t="shared" si="5"/>
        <v>-4.916666666666667</v>
      </c>
      <c r="BC17" s="363"/>
      <c r="BD17" s="91">
        <f t="shared" ca="1" si="6"/>
        <v>4.916666666666667</v>
      </c>
      <c r="BE17" s="91">
        <f t="shared" ca="1" si="7"/>
        <v>204.91666666666666</v>
      </c>
      <c r="BF17" s="91">
        <f t="shared" si="8"/>
        <v>21.833333333333336</v>
      </c>
      <c r="BG17" s="91">
        <f t="shared" ca="1" si="9"/>
        <v>16.916666666666668</v>
      </c>
      <c r="BH17" s="91">
        <f t="shared" ca="1" si="61"/>
        <v>-183.08333333333331</v>
      </c>
      <c r="BI17" s="10">
        <f t="shared" ca="1" si="40"/>
        <v>204.91666666666666</v>
      </c>
      <c r="BJ17" s="104">
        <f>((M17+Q17)*AJ17+AK17)+((U17-W17+W17/('Vergleich Holz Strom'!$B$8-0.6))*AO17+AP17)</f>
        <v>16.916666666666668</v>
      </c>
      <c r="BK17" s="10">
        <f t="shared" ca="1" si="11"/>
        <v>-188</v>
      </c>
      <c r="BL17" s="379"/>
      <c r="BM17" s="104">
        <f t="shared" ca="1" si="27"/>
        <v>-3087.1125469999997</v>
      </c>
      <c r="BN17" s="40">
        <f ca="1">IF(ISNUMBER(BK17),BN16+SUMIF(BK14:BK25,"&lt;&gt;#NV",BK14:BK25)/COUNTIF(BK14:BK25,"&lt;&gt;#NV"),#N/A)</f>
        <v>-3217.7792136666649</v>
      </c>
      <c r="BO17" s="10">
        <f t="shared" ca="1" si="62"/>
        <v>12</v>
      </c>
      <c r="BP17" s="104">
        <f t="shared" ca="1" si="29"/>
        <v>-45294.752546999996</v>
      </c>
      <c r="BQ17" s="104">
        <f t="shared" ca="1" si="63"/>
        <v>-45294.752546999996</v>
      </c>
      <c r="BR17" s="10">
        <f t="shared" si="12"/>
        <v>4.916666666666667</v>
      </c>
      <c r="BS17" s="311"/>
      <c r="BT17" s="307"/>
      <c r="BU17" s="295">
        <f t="shared" si="13"/>
        <v>0</v>
      </c>
      <c r="BV17" s="323"/>
      <c r="BW17" s="299">
        <f t="shared" si="14"/>
        <v>0</v>
      </c>
      <c r="BX17" s="295">
        <f t="shared" si="15"/>
        <v>0</v>
      </c>
      <c r="BY17" s="382"/>
      <c r="BZ17" s="299">
        <f t="shared" si="30"/>
        <v>0</v>
      </c>
      <c r="CA17" s="295">
        <f t="shared" si="42"/>
        <v>0</v>
      </c>
      <c r="CB17" s="323"/>
      <c r="CC17" s="314">
        <f t="shared" si="76"/>
        <v>0</v>
      </c>
      <c r="CD17" s="326"/>
      <c r="CE17" s="299">
        <f t="shared" si="17"/>
        <v>0</v>
      </c>
      <c r="CF17" s="284">
        <f t="shared" si="77"/>
        <v>0</v>
      </c>
      <c r="CG17" s="323"/>
      <c r="CH17" s="302">
        <f t="shared" si="58"/>
        <v>0</v>
      </c>
      <c r="CI17" s="108">
        <f t="shared" si="19"/>
        <v>0</v>
      </c>
      <c r="CJ17" s="200">
        <f t="shared" si="20"/>
        <v>0</v>
      </c>
      <c r="CK17" s="197">
        <f t="shared" si="51"/>
        <v>0</v>
      </c>
      <c r="CL17" s="203">
        <f t="shared" si="21"/>
        <v>12</v>
      </c>
      <c r="CM17" s="4">
        <f>U17*Jahresdaten!$AD$2</f>
        <v>0</v>
      </c>
      <c r="CN17" s="112">
        <f>CJ17*Jahresdaten!$AD$2</f>
        <v>0</v>
      </c>
      <c r="CO17" s="366"/>
      <c r="CP17" s="116">
        <f>U17*Jahresdaten!$AD$3</f>
        <v>0</v>
      </c>
      <c r="CQ17" s="12">
        <f>CJ17*Jahresdaten!$AD$3</f>
        <v>0</v>
      </c>
      <c r="CR17" s="353"/>
      <c r="CS17" s="14"/>
      <c r="CT17" s="136"/>
      <c r="CU17" s="140" t="str">
        <f>IF(CT17=0,"",CT17*'Vergleich Holz Strom'!$B$2)</f>
        <v/>
      </c>
      <c r="CV17" s="353"/>
      <c r="CW17" s="366"/>
      <c r="CX17" s="345"/>
      <c r="CY17" s="345"/>
      <c r="CZ17" s="345"/>
      <c r="DA17" s="348"/>
      <c r="DB17" s="94"/>
      <c r="DC17" s="88">
        <f t="shared" si="53"/>
        <v>1459.8446666666664</v>
      </c>
      <c r="DD17" s="94"/>
      <c r="DE17" s="88">
        <f t="shared" si="56"/>
        <v>-821.11254699999995</v>
      </c>
      <c r="DF17" s="100">
        <f ca="1">BE17+(SUM(CS14:CS25)/12)</f>
        <v>318.91666666666663</v>
      </c>
      <c r="DG17" s="351"/>
      <c r="DH17" s="8">
        <f t="shared" si="68"/>
        <v>0</v>
      </c>
      <c r="DI17" s="123">
        <f t="shared" si="64"/>
        <v>7350</v>
      </c>
      <c r="DJ17" s="2">
        <f t="shared" si="69"/>
        <v>0</v>
      </c>
      <c r="DK17" s="127">
        <f>DK25/12*4</f>
        <v>2600</v>
      </c>
      <c r="DL17" s="2">
        <f t="shared" si="70"/>
        <v>650</v>
      </c>
      <c r="DM17" s="130">
        <f t="shared" si="71"/>
        <v>0</v>
      </c>
      <c r="DN17" s="3">
        <f>DN25/12*4</f>
        <v>1000</v>
      </c>
      <c r="DO17" s="130">
        <f t="shared" si="72"/>
        <v>250</v>
      </c>
      <c r="DP17" s="4">
        <f t="shared" si="73"/>
        <v>0</v>
      </c>
      <c r="DQ17" s="116">
        <f t="shared" si="74"/>
        <v>3750</v>
      </c>
      <c r="DR17" s="116">
        <f t="shared" si="78"/>
        <v>1150</v>
      </c>
    </row>
    <row r="18" spans="1:122" ht="14.25" customHeight="1" thickBot="1" x14ac:dyDescent="0.2">
      <c r="A18" s="416"/>
      <c r="B18" s="16">
        <v>43862</v>
      </c>
      <c r="C18" s="207">
        <f>'PV-Felder'!$B$3</f>
        <v>675.2</v>
      </c>
      <c r="D18" s="351"/>
      <c r="E18" s="61">
        <v>0</v>
      </c>
      <c r="F18" s="351"/>
      <c r="G18" s="56">
        <f t="shared" ca="1" si="0"/>
        <v>-675.2</v>
      </c>
      <c r="H18" s="351"/>
      <c r="I18" s="61">
        <v>0</v>
      </c>
      <c r="J18" s="351"/>
      <c r="K18" s="61">
        <v>0</v>
      </c>
      <c r="L18" s="351"/>
      <c r="M18" s="65">
        <f t="shared" si="1"/>
        <v>0</v>
      </c>
      <c r="N18" s="373"/>
      <c r="O18" s="61"/>
      <c r="P18" s="288"/>
      <c r="Q18" s="286">
        <f t="shared" si="2"/>
        <v>0</v>
      </c>
      <c r="R18" s="334"/>
      <c r="S18" s="61">
        <v>0</v>
      </c>
      <c r="T18" s="376"/>
      <c r="U18" s="61">
        <v>0</v>
      </c>
      <c r="V18" s="342"/>
      <c r="W18" s="61">
        <v>0</v>
      </c>
      <c r="X18" s="342"/>
      <c r="Y18" s="211" t="e">
        <f t="shared" si="59"/>
        <v>#N/A</v>
      </c>
      <c r="Z18" s="370"/>
      <c r="AA18" s="61">
        <v>0</v>
      </c>
      <c r="AB18" s="351"/>
      <c r="AC18" s="61">
        <v>0</v>
      </c>
      <c r="AD18" s="351"/>
      <c r="AE18" s="73" t="e">
        <f t="shared" si="38"/>
        <v>#N/A</v>
      </c>
      <c r="AF18" s="356"/>
      <c r="AG18" s="73" t="e">
        <f t="shared" si="3"/>
        <v>#N/A</v>
      </c>
      <c r="AH18" s="356"/>
      <c r="AI18" s="221">
        <f t="shared" si="75"/>
        <v>15.18</v>
      </c>
      <c r="AJ18" s="78">
        <f>AJ17</f>
        <v>0.26750000000000002</v>
      </c>
      <c r="AK18" s="79">
        <f>AK17</f>
        <v>4.916666666666667</v>
      </c>
      <c r="AL18" s="80">
        <f>AL17+50</f>
        <v>175</v>
      </c>
      <c r="AM18" s="78">
        <f>AM17</f>
        <v>0.1147</v>
      </c>
      <c r="AN18" s="80">
        <f>AN17-24</f>
        <v>50</v>
      </c>
      <c r="AO18" s="78">
        <f t="shared" ref="AO18:AP20" si="81">AO17</f>
        <v>0.21099999999999999</v>
      </c>
      <c r="AP18" s="88">
        <f t="shared" si="81"/>
        <v>12</v>
      </c>
      <c r="AQ18" s="64">
        <f t="shared" si="47"/>
        <v>21.5</v>
      </c>
      <c r="AR18" s="64">
        <f t="shared" si="48"/>
        <v>11.5</v>
      </c>
      <c r="AS18" s="88">
        <f t="shared" si="50"/>
        <v>1.1830000000000001</v>
      </c>
      <c r="AT18" s="91">
        <f t="shared" si="80"/>
        <v>200</v>
      </c>
      <c r="AU18" s="94"/>
      <c r="AV18" s="95"/>
      <c r="AW18" s="56">
        <f t="shared" si="4"/>
        <v>0</v>
      </c>
      <c r="AX18" s="351"/>
      <c r="AY18" s="100">
        <f t="shared" si="52"/>
        <v>4.916666666666667</v>
      </c>
      <c r="AZ18" s="360"/>
      <c r="BA18" s="91">
        <f t="shared" si="67"/>
        <v>-98.862547000000035</v>
      </c>
      <c r="BB18" s="5">
        <f t="shared" si="5"/>
        <v>-4.916666666666667</v>
      </c>
      <c r="BC18" s="363"/>
      <c r="BD18" s="91">
        <f t="shared" ca="1" si="6"/>
        <v>4.916666666666667</v>
      </c>
      <c r="BE18" s="91">
        <f t="shared" ca="1" si="7"/>
        <v>204.91666666666666</v>
      </c>
      <c r="BF18" s="91">
        <f t="shared" si="8"/>
        <v>21.833333333333336</v>
      </c>
      <c r="BG18" s="91">
        <f t="shared" ca="1" si="9"/>
        <v>16.916666666666668</v>
      </c>
      <c r="BH18" s="91">
        <f t="shared" ca="1" si="61"/>
        <v>-183.08333333333331</v>
      </c>
      <c r="BI18" s="10">
        <f t="shared" ca="1" si="40"/>
        <v>204.91666666666666</v>
      </c>
      <c r="BJ18" s="104">
        <f>((M18+Q18)*AJ18+AK18)+((U18-W18+W18/('Vergleich Holz Strom'!$B$8-0.6))*AO18+AP18)</f>
        <v>16.916666666666668</v>
      </c>
      <c r="BK18" s="10">
        <f t="shared" ca="1" si="11"/>
        <v>-188</v>
      </c>
      <c r="BL18" s="379"/>
      <c r="BM18" s="104">
        <f t="shared" ca="1" si="27"/>
        <v>-3275.1125469999997</v>
      </c>
      <c r="BN18" s="40">
        <f ca="1">IF(ISNUMBER(BK18),BN17+SUMIF(BK14:BK25,"&lt;&gt;#NV",BK14:BK25)/COUNTIF(BK14:BK25,"&lt;&gt;#NV"),#N/A)</f>
        <v>-3438.4458803333314</v>
      </c>
      <c r="BO18" s="10">
        <f t="shared" ca="1" si="62"/>
        <v>12</v>
      </c>
      <c r="BP18" s="104">
        <f t="shared" ca="1" si="29"/>
        <v>-45282.752546999996</v>
      </c>
      <c r="BQ18" s="104">
        <f t="shared" ca="1" si="63"/>
        <v>-45282.752546999996</v>
      </c>
      <c r="BR18" s="10">
        <f t="shared" si="12"/>
        <v>4.916666666666667</v>
      </c>
      <c r="BS18" s="311"/>
      <c r="BT18" s="307"/>
      <c r="BU18" s="295">
        <f t="shared" si="13"/>
        <v>0</v>
      </c>
      <c r="BV18" s="323"/>
      <c r="BW18" s="299">
        <f t="shared" si="14"/>
        <v>0</v>
      </c>
      <c r="BX18" s="295">
        <f t="shared" si="15"/>
        <v>0</v>
      </c>
      <c r="BY18" s="382"/>
      <c r="BZ18" s="299">
        <f t="shared" si="30"/>
        <v>0</v>
      </c>
      <c r="CA18" s="295">
        <f t="shared" si="42"/>
        <v>0</v>
      </c>
      <c r="CB18" s="323"/>
      <c r="CC18" s="314">
        <f t="shared" si="76"/>
        <v>0</v>
      </c>
      <c r="CD18" s="326"/>
      <c r="CE18" s="299">
        <f t="shared" si="17"/>
        <v>0</v>
      </c>
      <c r="CF18" s="284">
        <f t="shared" si="77"/>
        <v>0</v>
      </c>
      <c r="CG18" s="323"/>
      <c r="CH18" s="302">
        <f t="shared" si="58"/>
        <v>0</v>
      </c>
      <c r="CI18" s="108">
        <f t="shared" si="19"/>
        <v>0</v>
      </c>
      <c r="CJ18" s="200">
        <f t="shared" si="20"/>
        <v>0</v>
      </c>
      <c r="CK18" s="197">
        <f t="shared" si="51"/>
        <v>0</v>
      </c>
      <c r="CL18" s="203">
        <f t="shared" si="21"/>
        <v>12</v>
      </c>
      <c r="CM18" s="4">
        <f>U18*Jahresdaten!$AD$2</f>
        <v>0</v>
      </c>
      <c r="CN18" s="112">
        <f>CJ18*Jahresdaten!$AD$2</f>
        <v>0</v>
      </c>
      <c r="CO18" s="366"/>
      <c r="CP18" s="116">
        <f>U18*Jahresdaten!$AD$3</f>
        <v>0</v>
      </c>
      <c r="CQ18" s="12">
        <f>CJ18*Jahresdaten!$AD$3</f>
        <v>0</v>
      </c>
      <c r="CR18" s="353"/>
      <c r="CS18" s="14"/>
      <c r="CT18" s="136"/>
      <c r="CU18" s="140" t="str">
        <f>IF(CT18=0,"",CT18*'Vergleich Holz Strom'!$B$2)</f>
        <v/>
      </c>
      <c r="CV18" s="353"/>
      <c r="CW18" s="366"/>
      <c r="CX18" s="345"/>
      <c r="CY18" s="345"/>
      <c r="CZ18" s="345"/>
      <c r="DA18" s="348"/>
      <c r="DB18" s="94"/>
      <c r="DC18" s="88">
        <f t="shared" si="53"/>
        <v>1629.9279999999997</v>
      </c>
      <c r="DD18" s="94"/>
      <c r="DE18" s="88">
        <f t="shared" si="56"/>
        <v>-871.11254699999995</v>
      </c>
      <c r="DF18" s="100">
        <f ca="1">BE18+(SUM(CS14:CS25)/12)</f>
        <v>318.91666666666663</v>
      </c>
      <c r="DG18" s="351"/>
      <c r="DH18" s="8">
        <f t="shared" si="68"/>
        <v>0</v>
      </c>
      <c r="DI18" s="123">
        <f t="shared" si="64"/>
        <v>9600</v>
      </c>
      <c r="DJ18" s="2">
        <f t="shared" si="69"/>
        <v>0</v>
      </c>
      <c r="DK18" s="127">
        <f>DK25/12*5</f>
        <v>3250</v>
      </c>
      <c r="DL18" s="2">
        <f t="shared" si="70"/>
        <v>650</v>
      </c>
      <c r="DM18" s="130">
        <f t="shared" si="71"/>
        <v>0</v>
      </c>
      <c r="DN18" s="3">
        <f>DN25/12*5</f>
        <v>1250</v>
      </c>
      <c r="DO18" s="130">
        <f t="shared" si="72"/>
        <v>250</v>
      </c>
      <c r="DP18" s="4">
        <f t="shared" si="73"/>
        <v>0</v>
      </c>
      <c r="DQ18" s="116">
        <f t="shared" si="74"/>
        <v>5100</v>
      </c>
      <c r="DR18" s="116">
        <f t="shared" si="78"/>
        <v>1350</v>
      </c>
    </row>
    <row r="19" spans="1:122" ht="15" customHeight="1" thickBot="1" x14ac:dyDescent="0.2">
      <c r="A19" s="416"/>
      <c r="B19" s="16">
        <v>43891</v>
      </c>
      <c r="C19" s="207">
        <f>'PV-Felder'!$B$4</f>
        <v>1310.5999999999999</v>
      </c>
      <c r="D19" s="351"/>
      <c r="E19" s="61">
        <v>0</v>
      </c>
      <c r="F19" s="351"/>
      <c r="G19" s="56">
        <f t="shared" ca="1" si="0"/>
        <v>-1310.5999999999999</v>
      </c>
      <c r="H19" s="351"/>
      <c r="I19" s="61">
        <v>0</v>
      </c>
      <c r="J19" s="351"/>
      <c r="K19" s="61">
        <v>0</v>
      </c>
      <c r="L19" s="351"/>
      <c r="M19" s="65">
        <f t="shared" si="1"/>
        <v>0</v>
      </c>
      <c r="N19" s="373"/>
      <c r="O19" s="61"/>
      <c r="P19" s="288"/>
      <c r="Q19" s="286">
        <f t="shared" si="2"/>
        <v>0</v>
      </c>
      <c r="R19" s="334"/>
      <c r="S19" s="61">
        <v>0</v>
      </c>
      <c r="T19" s="376"/>
      <c r="U19" s="61">
        <v>0</v>
      </c>
      <c r="V19" s="342"/>
      <c r="W19" s="61">
        <v>0</v>
      </c>
      <c r="X19" s="342"/>
      <c r="Y19" s="211" t="e">
        <f t="shared" si="59"/>
        <v>#N/A</v>
      </c>
      <c r="Z19" s="370"/>
      <c r="AA19" s="61">
        <v>0</v>
      </c>
      <c r="AB19" s="351"/>
      <c r="AC19" s="61">
        <v>0</v>
      </c>
      <c r="AD19" s="351"/>
      <c r="AE19" s="73" t="e">
        <f t="shared" si="38"/>
        <v>#N/A</v>
      </c>
      <c r="AF19" s="356"/>
      <c r="AG19" s="73" t="e">
        <f t="shared" si="3"/>
        <v>#N/A</v>
      </c>
      <c r="AH19" s="356"/>
      <c r="AI19" s="221">
        <f t="shared" si="75"/>
        <v>15.18</v>
      </c>
      <c r="AJ19" s="78">
        <f t="shared" ref="AJ19:AP26" si="82">AJ18</f>
        <v>0.26750000000000002</v>
      </c>
      <c r="AK19" s="79">
        <f t="shared" si="82"/>
        <v>4.916666666666667</v>
      </c>
      <c r="AL19" s="80">
        <f t="shared" si="82"/>
        <v>175</v>
      </c>
      <c r="AM19" s="78">
        <f>(0.1147/(9.9+5.28+4.48)*9.9)+(0.0972/(9.9+5.28+4.48)*(5.28+4.48))</f>
        <v>0.1060123092573754</v>
      </c>
      <c r="AN19" s="80">
        <f t="shared" si="55"/>
        <v>50</v>
      </c>
      <c r="AO19" s="78">
        <f t="shared" si="81"/>
        <v>0.21099999999999999</v>
      </c>
      <c r="AP19" s="88">
        <f t="shared" si="81"/>
        <v>12</v>
      </c>
      <c r="AQ19" s="64">
        <f t="shared" si="47"/>
        <v>21.5</v>
      </c>
      <c r="AR19" s="64">
        <f t="shared" si="48"/>
        <v>11.5</v>
      </c>
      <c r="AS19" s="88">
        <f t="shared" si="50"/>
        <v>1.1830000000000001</v>
      </c>
      <c r="AT19" s="91">
        <f t="shared" si="80"/>
        <v>200</v>
      </c>
      <c r="AU19" s="94"/>
      <c r="AV19" s="95"/>
      <c r="AW19" s="56">
        <f t="shared" si="4"/>
        <v>0</v>
      </c>
      <c r="AX19" s="351"/>
      <c r="AY19" s="100">
        <f t="shared" si="52"/>
        <v>4.916666666666667</v>
      </c>
      <c r="AZ19" s="360"/>
      <c r="BA19" s="91">
        <f t="shared" si="67"/>
        <v>-103.77921366666671</v>
      </c>
      <c r="BB19" s="5">
        <f t="shared" si="5"/>
        <v>-4.916666666666667</v>
      </c>
      <c r="BC19" s="363"/>
      <c r="BD19" s="91">
        <f t="shared" ca="1" si="6"/>
        <v>4.916666666666667</v>
      </c>
      <c r="BE19" s="91">
        <f t="shared" ca="1" si="7"/>
        <v>204.91666666666666</v>
      </c>
      <c r="BF19" s="91">
        <f t="shared" si="8"/>
        <v>21.833333333333336</v>
      </c>
      <c r="BG19" s="91">
        <f t="shared" ca="1" si="9"/>
        <v>16.916666666666668</v>
      </c>
      <c r="BH19" s="91">
        <f t="shared" ca="1" si="61"/>
        <v>-183.08333333333331</v>
      </c>
      <c r="BI19" s="10">
        <f t="shared" ca="1" si="40"/>
        <v>204.91666666666666</v>
      </c>
      <c r="BJ19" s="104">
        <f>((M19+Q19)*AJ19+AK19)+((U19-W19+W19/('Vergleich Holz Strom'!$B$8-0.6))*AO19+AP19)</f>
        <v>16.916666666666668</v>
      </c>
      <c r="BK19" s="10">
        <f t="shared" ca="1" si="11"/>
        <v>-188</v>
      </c>
      <c r="BL19" s="379"/>
      <c r="BM19" s="104">
        <f t="shared" ca="1" si="27"/>
        <v>-3463.1125469999997</v>
      </c>
      <c r="BN19" s="40">
        <f ca="1">IF(ISNUMBER(BK19),BN18+SUMIF(BK14:BK25,"&lt;&gt;#NV",BK14:BK25)/COUNTIF(BK14:BK25,"&lt;&gt;#NV"),#N/A)</f>
        <v>-3659.1125469999979</v>
      </c>
      <c r="BO19" s="10">
        <f t="shared" ca="1" si="62"/>
        <v>12</v>
      </c>
      <c r="BP19" s="104">
        <f t="shared" ca="1" si="29"/>
        <v>-45270.752546999996</v>
      </c>
      <c r="BQ19" s="104">
        <f t="shared" ca="1" si="63"/>
        <v>-45270.752546999996</v>
      </c>
      <c r="BR19" s="10">
        <f t="shared" si="12"/>
        <v>4.916666666666667</v>
      </c>
      <c r="BS19" s="311"/>
      <c r="BT19" s="307"/>
      <c r="BU19" s="295">
        <f t="shared" si="13"/>
        <v>0</v>
      </c>
      <c r="BV19" s="323"/>
      <c r="BW19" s="299">
        <f t="shared" si="14"/>
        <v>0</v>
      </c>
      <c r="BX19" s="295">
        <f t="shared" si="15"/>
        <v>0</v>
      </c>
      <c r="BY19" s="382"/>
      <c r="BZ19" s="299">
        <f t="shared" si="30"/>
        <v>0</v>
      </c>
      <c r="CA19" s="295">
        <f t="shared" si="42"/>
        <v>0</v>
      </c>
      <c r="CB19" s="323"/>
      <c r="CC19" s="314">
        <f t="shared" si="76"/>
        <v>0</v>
      </c>
      <c r="CD19" s="326"/>
      <c r="CE19" s="299">
        <f t="shared" si="17"/>
        <v>0</v>
      </c>
      <c r="CF19" s="284">
        <f t="shared" si="77"/>
        <v>0</v>
      </c>
      <c r="CG19" s="323"/>
      <c r="CH19" s="302">
        <f t="shared" si="58"/>
        <v>0</v>
      </c>
      <c r="CI19" s="108">
        <f t="shared" si="19"/>
        <v>0</v>
      </c>
      <c r="CJ19" s="200">
        <f t="shared" si="20"/>
        <v>0</v>
      </c>
      <c r="CK19" s="197">
        <f t="shared" si="51"/>
        <v>0</v>
      </c>
      <c r="CL19" s="203">
        <f t="shared" si="21"/>
        <v>12</v>
      </c>
      <c r="CM19" s="4">
        <f>U19*Jahresdaten!$AD$2</f>
        <v>0</v>
      </c>
      <c r="CN19" s="112">
        <f>CJ19*Jahresdaten!$AD$2</f>
        <v>0</v>
      </c>
      <c r="CO19" s="366"/>
      <c r="CP19" s="116">
        <f>U19*Jahresdaten!$AD$3</f>
        <v>0</v>
      </c>
      <c r="CQ19" s="12">
        <f>CJ19*Jahresdaten!$AD$3</f>
        <v>0</v>
      </c>
      <c r="CR19" s="353"/>
      <c r="CS19" s="14"/>
      <c r="CT19" s="136"/>
      <c r="CU19" s="140" t="str">
        <f>IF(CT19=0,"",CT19*'Vergleich Holz Strom'!$B$2)</f>
        <v/>
      </c>
      <c r="CV19" s="353"/>
      <c r="CW19" s="366"/>
      <c r="CX19" s="345"/>
      <c r="CY19" s="345"/>
      <c r="CZ19" s="345"/>
      <c r="DA19" s="348"/>
      <c r="DB19" s="94"/>
      <c r="DC19" s="88">
        <f t="shared" si="53"/>
        <v>1800.0113333333329</v>
      </c>
      <c r="DD19" s="94"/>
      <c r="DE19" s="88">
        <f t="shared" si="56"/>
        <v>-921.11254699999995</v>
      </c>
      <c r="DF19" s="100">
        <f ca="1">BE19+(SUM(CS14:CS25)/12)</f>
        <v>318.91666666666663</v>
      </c>
      <c r="DG19" s="351"/>
      <c r="DH19" s="8">
        <f t="shared" si="68"/>
        <v>0</v>
      </c>
      <c r="DI19" s="123">
        <f t="shared" si="64"/>
        <v>11850</v>
      </c>
      <c r="DJ19" s="2">
        <f t="shared" si="69"/>
        <v>0</v>
      </c>
      <c r="DK19" s="127">
        <f>DK25/12*6</f>
        <v>3900</v>
      </c>
      <c r="DL19" s="2">
        <f t="shared" si="70"/>
        <v>650</v>
      </c>
      <c r="DM19" s="130">
        <f t="shared" si="71"/>
        <v>0</v>
      </c>
      <c r="DN19" s="3">
        <f>DN25/12*6</f>
        <v>1500</v>
      </c>
      <c r="DO19" s="130">
        <f t="shared" si="72"/>
        <v>250</v>
      </c>
      <c r="DP19" s="4">
        <f t="shared" si="73"/>
        <v>0</v>
      </c>
      <c r="DQ19" s="116">
        <f t="shared" si="74"/>
        <v>6450</v>
      </c>
      <c r="DR19" s="116">
        <f t="shared" si="78"/>
        <v>1350</v>
      </c>
    </row>
    <row r="20" spans="1:122" ht="15" customHeight="1" thickBot="1" x14ac:dyDescent="0.2">
      <c r="A20" s="416"/>
      <c r="B20" s="16">
        <v>43922</v>
      </c>
      <c r="C20" s="207">
        <f>'PV-Felder'!$B$5</f>
        <v>1825</v>
      </c>
      <c r="D20" s="351"/>
      <c r="E20" s="61">
        <v>0</v>
      </c>
      <c r="F20" s="351"/>
      <c r="G20" s="56">
        <f t="shared" ca="1" si="0"/>
        <v>-1825</v>
      </c>
      <c r="H20" s="351"/>
      <c r="I20" s="61">
        <v>0</v>
      </c>
      <c r="J20" s="351"/>
      <c r="K20" s="61">
        <v>0</v>
      </c>
      <c r="L20" s="351"/>
      <c r="M20" s="65">
        <f t="shared" si="1"/>
        <v>0</v>
      </c>
      <c r="N20" s="373"/>
      <c r="O20" s="61"/>
      <c r="P20" s="288"/>
      <c r="Q20" s="286">
        <f t="shared" si="2"/>
        <v>0</v>
      </c>
      <c r="R20" s="334"/>
      <c r="S20" s="61">
        <v>0</v>
      </c>
      <c r="T20" s="376"/>
      <c r="U20" s="61">
        <v>0</v>
      </c>
      <c r="V20" s="342"/>
      <c r="W20" s="61">
        <v>0</v>
      </c>
      <c r="X20" s="342"/>
      <c r="Y20" s="211" t="e">
        <f t="shared" si="59"/>
        <v>#N/A</v>
      </c>
      <c r="Z20" s="370"/>
      <c r="AA20" s="61">
        <v>0</v>
      </c>
      <c r="AB20" s="351"/>
      <c r="AC20" s="61">
        <v>0</v>
      </c>
      <c r="AD20" s="351"/>
      <c r="AE20" s="73" t="e">
        <f t="shared" si="38"/>
        <v>#N/A</v>
      </c>
      <c r="AF20" s="356"/>
      <c r="AG20" s="73" t="e">
        <f t="shared" si="3"/>
        <v>#N/A</v>
      </c>
      <c r="AH20" s="356"/>
      <c r="AI20" s="221">
        <v>29.26</v>
      </c>
      <c r="AJ20" s="78">
        <f t="shared" si="82"/>
        <v>0.26750000000000002</v>
      </c>
      <c r="AK20" s="79">
        <f>119/12</f>
        <v>9.9166666666666661</v>
      </c>
      <c r="AL20" s="80">
        <f>AL19-75</f>
        <v>100</v>
      </c>
      <c r="AM20" s="78">
        <f t="shared" si="82"/>
        <v>0.1060123092573754</v>
      </c>
      <c r="AN20" s="80">
        <v>50</v>
      </c>
      <c r="AO20" s="78">
        <f t="shared" si="81"/>
        <v>0.21099999999999999</v>
      </c>
      <c r="AP20" s="88">
        <f t="shared" si="81"/>
        <v>12</v>
      </c>
      <c r="AQ20" s="64">
        <f t="shared" si="47"/>
        <v>21.5</v>
      </c>
      <c r="AR20" s="64">
        <f t="shared" si="48"/>
        <v>11.5</v>
      </c>
      <c r="AS20" s="88">
        <f t="shared" si="50"/>
        <v>1.1830000000000001</v>
      </c>
      <c r="AT20" s="91">
        <f>AT19</f>
        <v>200</v>
      </c>
      <c r="AU20" s="94"/>
      <c r="AV20" s="95"/>
      <c r="AW20" s="56">
        <f t="shared" si="4"/>
        <v>0</v>
      </c>
      <c r="AX20" s="351"/>
      <c r="AY20" s="100">
        <f t="shared" si="52"/>
        <v>9.9166666666666661</v>
      </c>
      <c r="AZ20" s="360"/>
      <c r="BA20" s="91">
        <f t="shared" si="67"/>
        <v>-113.69588033333338</v>
      </c>
      <c r="BB20" s="5">
        <f t="shared" si="5"/>
        <v>-9.9166666666666661</v>
      </c>
      <c r="BC20" s="363"/>
      <c r="BD20" s="91">
        <f t="shared" ca="1" si="6"/>
        <v>9.9166666666666661</v>
      </c>
      <c r="BE20" s="91">
        <f t="shared" ca="1" si="7"/>
        <v>209.91666666666666</v>
      </c>
      <c r="BF20" s="91">
        <f t="shared" si="8"/>
        <v>31.833333333333329</v>
      </c>
      <c r="BG20" s="91">
        <f t="shared" ca="1" si="9"/>
        <v>21.916666666666664</v>
      </c>
      <c r="BH20" s="91">
        <f t="shared" ca="1" si="61"/>
        <v>-178.08333333333331</v>
      </c>
      <c r="BI20" s="10">
        <f t="shared" ca="1" si="40"/>
        <v>209.91666666666666</v>
      </c>
      <c r="BJ20" s="104">
        <f>((M20+Q20)*AJ20+AK20)+((U20-W20+W20/('Vergleich Holz Strom'!$B$8-0.6))*AO20+AP20)</f>
        <v>21.916666666666664</v>
      </c>
      <c r="BK20" s="10">
        <f t="shared" ca="1" si="11"/>
        <v>-188</v>
      </c>
      <c r="BL20" s="379"/>
      <c r="BM20" s="104">
        <f t="shared" ca="1" si="27"/>
        <v>-3651.1125469999997</v>
      </c>
      <c r="BN20" s="40">
        <f ca="1">IF(ISNUMBER(BK20),BN19+SUMIF(BK14:BK25,"&lt;&gt;#NV",BK14:BK25)/COUNTIF(BK14:BK25,"&lt;&gt;#NV"),#N/A)</f>
        <v>-3879.7792136666644</v>
      </c>
      <c r="BO20" s="10">
        <f t="shared" ca="1" si="62"/>
        <v>12</v>
      </c>
      <c r="BP20" s="104">
        <f t="shared" ca="1" si="29"/>
        <v>-45258.752546999996</v>
      </c>
      <c r="BQ20" s="104">
        <f t="shared" ca="1" si="63"/>
        <v>-45258.752546999996</v>
      </c>
      <c r="BR20" s="10">
        <f t="shared" si="12"/>
        <v>9.9166666666666661</v>
      </c>
      <c r="BS20" s="311"/>
      <c r="BT20" s="307"/>
      <c r="BU20" s="295">
        <f t="shared" si="13"/>
        <v>0</v>
      </c>
      <c r="BV20" s="323"/>
      <c r="BW20" s="299">
        <f t="shared" si="14"/>
        <v>0</v>
      </c>
      <c r="BX20" s="295">
        <f t="shared" si="15"/>
        <v>0</v>
      </c>
      <c r="BY20" s="382"/>
      <c r="BZ20" s="299">
        <f t="shared" si="30"/>
        <v>0</v>
      </c>
      <c r="CA20" s="295">
        <f t="shared" si="42"/>
        <v>0</v>
      </c>
      <c r="CB20" s="323"/>
      <c r="CC20" s="314">
        <f t="shared" si="76"/>
        <v>0</v>
      </c>
      <c r="CD20" s="326"/>
      <c r="CE20" s="299">
        <f t="shared" si="17"/>
        <v>0</v>
      </c>
      <c r="CF20" s="284">
        <f t="shared" si="77"/>
        <v>0</v>
      </c>
      <c r="CG20" s="323"/>
      <c r="CH20" s="302">
        <f t="shared" si="58"/>
        <v>0</v>
      </c>
      <c r="CI20" s="108">
        <f t="shared" si="19"/>
        <v>0</v>
      </c>
      <c r="CJ20" s="200">
        <f t="shared" si="20"/>
        <v>0</v>
      </c>
      <c r="CK20" s="197">
        <f t="shared" si="51"/>
        <v>0</v>
      </c>
      <c r="CL20" s="203">
        <f t="shared" si="21"/>
        <v>12</v>
      </c>
      <c r="CM20" s="4">
        <f>U20*Jahresdaten!$AD$2</f>
        <v>0</v>
      </c>
      <c r="CN20" s="112">
        <f>CJ20*Jahresdaten!$AD$2</f>
        <v>0</v>
      </c>
      <c r="CO20" s="366"/>
      <c r="CP20" s="116">
        <f>U20*Jahresdaten!$AD$3</f>
        <v>0</v>
      </c>
      <c r="CQ20" s="12">
        <f>CJ20*Jahresdaten!$AD$3</f>
        <v>0</v>
      </c>
      <c r="CR20" s="353"/>
      <c r="CS20" s="14"/>
      <c r="CT20" s="136"/>
      <c r="CU20" s="140" t="str">
        <f>IF(CT20=0,"",CT20*'Vergleich Holz Strom'!$B$2)</f>
        <v/>
      </c>
      <c r="CV20" s="121" t="s">
        <v>6</v>
      </c>
      <c r="CW20" s="366"/>
      <c r="CX20" s="345"/>
      <c r="CY20" s="345"/>
      <c r="CZ20" s="345"/>
      <c r="DA20" s="348"/>
      <c r="DB20" s="94"/>
      <c r="DC20" s="88">
        <f t="shared" si="53"/>
        <v>1890.0946666666662</v>
      </c>
      <c r="DD20" s="94"/>
      <c r="DE20" s="88">
        <f t="shared" si="56"/>
        <v>-971.11254699999995</v>
      </c>
      <c r="DF20" s="100">
        <f ca="1">BE20+(SUM(CS14:CS25)/12)</f>
        <v>323.91666666666663</v>
      </c>
      <c r="DG20" s="351"/>
      <c r="DH20" s="8">
        <f t="shared" si="68"/>
        <v>0</v>
      </c>
      <c r="DI20" s="123">
        <f t="shared" si="64"/>
        <v>14000</v>
      </c>
      <c r="DJ20" s="2">
        <f t="shared" si="69"/>
        <v>0</v>
      </c>
      <c r="DK20" s="127">
        <f>DK25/12*7</f>
        <v>4550</v>
      </c>
      <c r="DL20" s="2">
        <f t="shared" si="70"/>
        <v>650</v>
      </c>
      <c r="DM20" s="130">
        <f t="shared" si="71"/>
        <v>0</v>
      </c>
      <c r="DN20" s="3">
        <f>DN25/12*7</f>
        <v>1750</v>
      </c>
      <c r="DO20" s="130">
        <f t="shared" si="72"/>
        <v>250</v>
      </c>
      <c r="DP20" s="4">
        <f t="shared" si="73"/>
        <v>0</v>
      </c>
      <c r="DQ20" s="116">
        <f t="shared" si="74"/>
        <v>7700</v>
      </c>
      <c r="DR20" s="116">
        <f t="shared" si="78"/>
        <v>1250</v>
      </c>
    </row>
    <row r="21" spans="1:122" ht="14.25" customHeight="1" thickBot="1" x14ac:dyDescent="0.2">
      <c r="A21" s="416"/>
      <c r="B21" s="16">
        <v>43952</v>
      </c>
      <c r="C21" s="207">
        <f>'PV-Felder'!$C$6+('PV-Felder'!$E$6/31*23)+'PV-Felder'!$D$6+('PV-Felder'!$F$6/31*23)</f>
        <v>3019.9677419354839</v>
      </c>
      <c r="D21" s="351"/>
      <c r="E21" s="61">
        <v>0</v>
      </c>
      <c r="F21" s="351"/>
      <c r="G21" s="56">
        <f t="shared" ca="1" si="0"/>
        <v>-3019.9677419354839</v>
      </c>
      <c r="H21" s="351"/>
      <c r="I21" s="61">
        <v>0</v>
      </c>
      <c r="J21" s="351"/>
      <c r="K21" s="61">
        <v>0</v>
      </c>
      <c r="L21" s="351"/>
      <c r="M21" s="65">
        <f t="shared" si="1"/>
        <v>0</v>
      </c>
      <c r="N21" s="373"/>
      <c r="O21" s="61"/>
      <c r="P21" s="288"/>
      <c r="Q21" s="286">
        <f t="shared" si="2"/>
        <v>0</v>
      </c>
      <c r="R21" s="334"/>
      <c r="S21" s="61">
        <v>0</v>
      </c>
      <c r="T21" s="376"/>
      <c r="U21" s="61">
        <v>0</v>
      </c>
      <c r="V21" s="342"/>
      <c r="W21" s="61">
        <v>0</v>
      </c>
      <c r="X21" s="342"/>
      <c r="Y21" s="211" t="e">
        <f t="shared" si="59"/>
        <v>#N/A</v>
      </c>
      <c r="Z21" s="370"/>
      <c r="AA21" s="61">
        <v>0</v>
      </c>
      <c r="AB21" s="351"/>
      <c r="AC21" s="61">
        <v>0</v>
      </c>
      <c r="AD21" s="351"/>
      <c r="AE21" s="73" t="e">
        <f t="shared" si="38"/>
        <v>#N/A</v>
      </c>
      <c r="AF21" s="356"/>
      <c r="AG21" s="73" t="e">
        <f t="shared" si="3"/>
        <v>#N/A</v>
      </c>
      <c r="AH21" s="356"/>
      <c r="AI21" s="221">
        <f t="shared" si="75"/>
        <v>29.26</v>
      </c>
      <c r="AJ21" s="78">
        <f t="shared" si="82"/>
        <v>0.26750000000000002</v>
      </c>
      <c r="AK21" s="79">
        <f t="shared" si="82"/>
        <v>9.9166666666666661</v>
      </c>
      <c r="AL21" s="80">
        <f t="shared" si="82"/>
        <v>100</v>
      </c>
      <c r="AM21" s="78">
        <f t="shared" si="82"/>
        <v>0.1060123092573754</v>
      </c>
      <c r="AN21" s="80">
        <f t="shared" si="55"/>
        <v>50</v>
      </c>
      <c r="AO21" s="78">
        <f t="shared" si="82"/>
        <v>0.21099999999999999</v>
      </c>
      <c r="AP21" s="88">
        <f t="shared" si="82"/>
        <v>12</v>
      </c>
      <c r="AQ21" s="64">
        <f t="shared" si="47"/>
        <v>21.5</v>
      </c>
      <c r="AR21" s="64">
        <f t="shared" si="48"/>
        <v>11.5</v>
      </c>
      <c r="AS21" s="88">
        <f t="shared" si="50"/>
        <v>1.1830000000000001</v>
      </c>
      <c r="AT21" s="91">
        <v>260</v>
      </c>
      <c r="AU21" s="94"/>
      <c r="AV21" s="95"/>
      <c r="AW21" s="56">
        <f t="shared" si="4"/>
        <v>0</v>
      </c>
      <c r="AX21" s="351"/>
      <c r="AY21" s="100">
        <f t="shared" si="52"/>
        <v>9.9166666666666661</v>
      </c>
      <c r="AZ21" s="360"/>
      <c r="BA21" s="91">
        <f t="shared" si="67"/>
        <v>-123.61254700000005</v>
      </c>
      <c r="BB21" s="5">
        <f t="shared" si="5"/>
        <v>-9.9166666666666661</v>
      </c>
      <c r="BC21" s="363"/>
      <c r="BD21" s="91">
        <f t="shared" ca="1" si="6"/>
        <v>9.9166666666666661</v>
      </c>
      <c r="BE21" s="91">
        <f t="shared" ca="1" si="7"/>
        <v>269.91666666666669</v>
      </c>
      <c r="BF21" s="91">
        <f t="shared" si="8"/>
        <v>31.833333333333329</v>
      </c>
      <c r="BG21" s="91">
        <f t="shared" ca="1" si="9"/>
        <v>21.916666666666664</v>
      </c>
      <c r="BH21" s="91">
        <f t="shared" ca="1" si="61"/>
        <v>-238.08333333333337</v>
      </c>
      <c r="BI21" s="10">
        <f t="shared" ca="1" si="40"/>
        <v>269.91666666666669</v>
      </c>
      <c r="BJ21" s="104">
        <f>((M21+Q21)*AJ21+AK21)+((U21-W21+W21/('Vergleich Holz Strom'!$B$8-0.6))*AO21+AP21)</f>
        <v>21.916666666666664</v>
      </c>
      <c r="BK21" s="10">
        <f t="shared" ca="1" si="11"/>
        <v>-248.00000000000003</v>
      </c>
      <c r="BL21" s="379"/>
      <c r="BM21" s="104">
        <f t="shared" ca="1" si="27"/>
        <v>-3899.1125469999997</v>
      </c>
      <c r="BN21" s="40">
        <f ca="1">IF(ISNUMBER(BK21),BN20+SUMIF(BK14:BK25,"&lt;&gt;#NV",BK14:BK25)/COUNTIF(BK14:BK25,"&lt;&gt;#NV"),#N/A)</f>
        <v>-4100.4458803333309</v>
      </c>
      <c r="BO21" s="10">
        <f t="shared" ca="1" si="62"/>
        <v>11.999999999999972</v>
      </c>
      <c r="BP21" s="104">
        <f ca="1">BP20+BO21-17195.55</f>
        <v>-62442.302546999999</v>
      </c>
      <c r="BQ21" s="104">
        <f ca="1">IF(B22&lt;=TODAY(),BP21,IF(E21=0,BQ20+BQ9-BQ8-17195.55,BP21))</f>
        <v>-62442.302546999999</v>
      </c>
      <c r="BR21" s="10">
        <f t="shared" si="12"/>
        <v>9.9166666666666661</v>
      </c>
      <c r="BS21" s="311"/>
      <c r="BT21" s="307"/>
      <c r="BU21" s="295">
        <f t="shared" si="13"/>
        <v>0</v>
      </c>
      <c r="BV21" s="323"/>
      <c r="BW21" s="299">
        <f t="shared" si="14"/>
        <v>0</v>
      </c>
      <c r="BX21" s="295">
        <f t="shared" si="15"/>
        <v>0</v>
      </c>
      <c r="BY21" s="382"/>
      <c r="BZ21" s="299">
        <f t="shared" si="30"/>
        <v>0</v>
      </c>
      <c r="CA21" s="295">
        <f t="shared" si="42"/>
        <v>0</v>
      </c>
      <c r="CB21" s="323"/>
      <c r="CC21" s="314">
        <f t="shared" si="76"/>
        <v>0</v>
      </c>
      <c r="CD21" s="326"/>
      <c r="CE21" s="299">
        <f t="shared" si="17"/>
        <v>0</v>
      </c>
      <c r="CF21" s="284">
        <f t="shared" si="77"/>
        <v>0</v>
      </c>
      <c r="CG21" s="323"/>
      <c r="CH21" s="302">
        <f t="shared" si="58"/>
        <v>0</v>
      </c>
      <c r="CI21" s="108">
        <f t="shared" si="19"/>
        <v>0</v>
      </c>
      <c r="CJ21" s="200">
        <f t="shared" si="20"/>
        <v>0</v>
      </c>
      <c r="CK21" s="197">
        <f t="shared" si="51"/>
        <v>0</v>
      </c>
      <c r="CL21" s="203">
        <f t="shared" si="21"/>
        <v>12</v>
      </c>
      <c r="CM21" s="4">
        <f>U21*Jahresdaten!$AD$2</f>
        <v>0</v>
      </c>
      <c r="CN21" s="112">
        <f>CJ21*Jahresdaten!$AD$2</f>
        <v>0</v>
      </c>
      <c r="CO21" s="366"/>
      <c r="CP21" s="116">
        <f>U21*Jahresdaten!$AD$3</f>
        <v>0</v>
      </c>
      <c r="CQ21" s="12">
        <f>CJ21*Jahresdaten!$AD$3</f>
        <v>0</v>
      </c>
      <c r="CR21" s="353"/>
      <c r="CS21" s="14"/>
      <c r="CT21" s="136"/>
      <c r="CU21" s="140" t="str">
        <f>IF(CT21=0,"",CT21*'Vergleich Holz Strom'!$B$2)</f>
        <v/>
      </c>
      <c r="CV21" s="353">
        <f>SUM(CS14:CS25)</f>
        <v>1368</v>
      </c>
      <c r="CW21" s="366"/>
      <c r="CX21" s="345"/>
      <c r="CY21" s="345"/>
      <c r="CZ21" s="345"/>
      <c r="DA21" s="348"/>
      <c r="DB21" s="94"/>
      <c r="DC21" s="88">
        <f t="shared" si="53"/>
        <v>1980.1779999999994</v>
      </c>
      <c r="DD21" s="94"/>
      <c r="DE21" s="88">
        <f t="shared" si="56"/>
        <v>-1021.1125469999999</v>
      </c>
      <c r="DF21" s="100">
        <f ca="1">BE21+(SUM(CS14:CS25)/12)</f>
        <v>383.91666666666669</v>
      </c>
      <c r="DG21" s="351"/>
      <c r="DH21" s="8">
        <f t="shared" si="68"/>
        <v>0</v>
      </c>
      <c r="DI21" s="123">
        <f t="shared" si="64"/>
        <v>16000</v>
      </c>
      <c r="DJ21" s="2">
        <f t="shared" si="69"/>
        <v>0</v>
      </c>
      <c r="DK21" s="127">
        <f>DK25/12*8</f>
        <v>5200</v>
      </c>
      <c r="DL21" s="2">
        <f t="shared" si="70"/>
        <v>650</v>
      </c>
      <c r="DM21" s="130">
        <f t="shared" si="71"/>
        <v>0</v>
      </c>
      <c r="DN21" s="3">
        <f>DN25/12*8</f>
        <v>2000</v>
      </c>
      <c r="DO21" s="130">
        <f t="shared" si="72"/>
        <v>250</v>
      </c>
      <c r="DP21" s="4">
        <f t="shared" si="73"/>
        <v>0</v>
      </c>
      <c r="DQ21" s="116">
        <f t="shared" si="74"/>
        <v>8800</v>
      </c>
      <c r="DR21" s="116">
        <f t="shared" si="78"/>
        <v>1100</v>
      </c>
    </row>
    <row r="22" spans="1:122" ht="14.25" customHeight="1" thickBot="1" x14ac:dyDescent="0.2">
      <c r="A22" s="416"/>
      <c r="B22" s="16">
        <v>43983</v>
      </c>
      <c r="C22" s="207">
        <f>'PV-Felder'!$I$7</f>
        <v>3595.6000000000004</v>
      </c>
      <c r="D22" s="351"/>
      <c r="E22" s="61">
        <v>0</v>
      </c>
      <c r="F22" s="351"/>
      <c r="G22" s="56">
        <f t="shared" ca="1" si="0"/>
        <v>-3595.6000000000004</v>
      </c>
      <c r="H22" s="351"/>
      <c r="I22" s="61">
        <v>0</v>
      </c>
      <c r="J22" s="351"/>
      <c r="K22" s="61">
        <v>0</v>
      </c>
      <c r="L22" s="351"/>
      <c r="M22" s="65">
        <f t="shared" si="1"/>
        <v>0</v>
      </c>
      <c r="N22" s="373"/>
      <c r="O22" s="61"/>
      <c r="P22" s="288"/>
      <c r="Q22" s="286">
        <f t="shared" si="2"/>
        <v>0</v>
      </c>
      <c r="R22" s="334"/>
      <c r="S22" s="61">
        <v>0</v>
      </c>
      <c r="T22" s="376"/>
      <c r="U22" s="61">
        <v>0</v>
      </c>
      <c r="V22" s="342"/>
      <c r="W22" s="61">
        <v>0</v>
      </c>
      <c r="X22" s="342"/>
      <c r="Y22" s="211" t="e">
        <f t="shared" si="59"/>
        <v>#N/A</v>
      </c>
      <c r="Z22" s="370"/>
      <c r="AA22" s="61">
        <v>0</v>
      </c>
      <c r="AB22" s="351"/>
      <c r="AC22" s="61">
        <v>0</v>
      </c>
      <c r="AD22" s="351"/>
      <c r="AE22" s="73" t="e">
        <f t="shared" si="38"/>
        <v>#N/A</v>
      </c>
      <c r="AF22" s="356"/>
      <c r="AG22" s="73" t="e">
        <f t="shared" si="3"/>
        <v>#N/A</v>
      </c>
      <c r="AH22" s="356"/>
      <c r="AI22" s="221">
        <f t="shared" si="75"/>
        <v>29.26</v>
      </c>
      <c r="AJ22" s="78">
        <f t="shared" si="82"/>
        <v>0.26750000000000002</v>
      </c>
      <c r="AK22" s="79">
        <f t="shared" si="82"/>
        <v>9.9166666666666661</v>
      </c>
      <c r="AL22" s="80">
        <f t="shared" si="82"/>
        <v>100</v>
      </c>
      <c r="AM22" s="78">
        <f t="shared" si="82"/>
        <v>0.1060123092573754</v>
      </c>
      <c r="AN22" s="80">
        <f>AN21+19</f>
        <v>69</v>
      </c>
      <c r="AO22" s="78">
        <f t="shared" si="82"/>
        <v>0.21099999999999999</v>
      </c>
      <c r="AP22" s="88">
        <f t="shared" si="82"/>
        <v>12</v>
      </c>
      <c r="AQ22" s="64">
        <f t="shared" si="47"/>
        <v>21.5</v>
      </c>
      <c r="AR22" s="64">
        <f t="shared" si="48"/>
        <v>11.5</v>
      </c>
      <c r="AS22" s="88">
        <f t="shared" si="50"/>
        <v>1.1830000000000001</v>
      </c>
      <c r="AT22" s="91">
        <v>283</v>
      </c>
      <c r="AU22" s="94"/>
      <c r="AV22" s="95"/>
      <c r="AW22" s="56">
        <f t="shared" si="4"/>
        <v>0</v>
      </c>
      <c r="AX22" s="351"/>
      <c r="AY22" s="100">
        <f t="shared" si="52"/>
        <v>9.9166666666666661</v>
      </c>
      <c r="AZ22" s="360"/>
      <c r="BA22" s="91">
        <f t="shared" si="67"/>
        <v>-133.52921366666672</v>
      </c>
      <c r="BB22" s="5">
        <f t="shared" si="5"/>
        <v>-9.9166666666666661</v>
      </c>
      <c r="BC22" s="363"/>
      <c r="BD22" s="91">
        <f t="shared" ca="1" si="6"/>
        <v>9.9166666666666661</v>
      </c>
      <c r="BE22" s="91">
        <f t="shared" ca="1" si="7"/>
        <v>292.91666666666669</v>
      </c>
      <c r="BF22" s="91">
        <f t="shared" si="8"/>
        <v>31.833333333333329</v>
      </c>
      <c r="BG22" s="91">
        <f t="shared" ca="1" si="9"/>
        <v>21.916666666666664</v>
      </c>
      <c r="BH22" s="91">
        <f t="shared" ca="1" si="61"/>
        <v>-261.08333333333337</v>
      </c>
      <c r="BI22" s="10">
        <f t="shared" ca="1" si="40"/>
        <v>292.91666666666669</v>
      </c>
      <c r="BJ22" s="104">
        <f>((M22+Q22)*AJ22+AK22)+((U22-W22+W22/('Vergleich Holz Strom'!$B$8-0.6))*AO22+AP22)</f>
        <v>21.916666666666664</v>
      </c>
      <c r="BK22" s="10">
        <f t="shared" ca="1" si="11"/>
        <v>-271</v>
      </c>
      <c r="BL22" s="379"/>
      <c r="BM22" s="104">
        <f t="shared" ca="1" si="27"/>
        <v>-4170.1125469999997</v>
      </c>
      <c r="BN22" s="40">
        <f ca="1">IF(ISNUMBER(BK22),BN21+SUMIF(BK14:BK25,"&lt;&gt;#NV",BK14:BK25)/COUNTIF(BK14:BK25,"&lt;&gt;#NV"),#N/A)</f>
        <v>-4321.1125469999979</v>
      </c>
      <c r="BO22" s="10">
        <f t="shared" ca="1" si="62"/>
        <v>12</v>
      </c>
      <c r="BP22" s="104">
        <f ca="1">BP21+BO22</f>
        <v>-62430.302546999999</v>
      </c>
      <c r="BQ22" s="104">
        <f ca="1">IF(B23&lt;=TODAY(),BP22,IF(E22=0,BQ21+BQ10-BQ9,BP22))</f>
        <v>-62430.302546999999</v>
      </c>
      <c r="BR22" s="10">
        <f t="shared" si="12"/>
        <v>9.9166666666666661</v>
      </c>
      <c r="BS22" s="311"/>
      <c r="BT22" s="307"/>
      <c r="BU22" s="295">
        <f t="shared" si="13"/>
        <v>0</v>
      </c>
      <c r="BV22" s="323"/>
      <c r="BW22" s="299">
        <f t="shared" si="14"/>
        <v>0</v>
      </c>
      <c r="BX22" s="295">
        <f t="shared" si="15"/>
        <v>0</v>
      </c>
      <c r="BY22" s="382"/>
      <c r="BZ22" s="299">
        <f t="shared" si="30"/>
        <v>0</v>
      </c>
      <c r="CA22" s="295">
        <f t="shared" si="42"/>
        <v>0</v>
      </c>
      <c r="CB22" s="323"/>
      <c r="CC22" s="314">
        <f t="shared" si="76"/>
        <v>0</v>
      </c>
      <c r="CD22" s="326"/>
      <c r="CE22" s="299">
        <f t="shared" si="17"/>
        <v>0</v>
      </c>
      <c r="CF22" s="284">
        <f t="shared" si="77"/>
        <v>0</v>
      </c>
      <c r="CG22" s="323"/>
      <c r="CH22" s="302">
        <f t="shared" si="58"/>
        <v>0</v>
      </c>
      <c r="CI22" s="108">
        <f t="shared" si="19"/>
        <v>0</v>
      </c>
      <c r="CJ22" s="200">
        <f t="shared" si="20"/>
        <v>0</v>
      </c>
      <c r="CK22" s="197">
        <f t="shared" si="51"/>
        <v>0</v>
      </c>
      <c r="CL22" s="203">
        <f t="shared" si="21"/>
        <v>12</v>
      </c>
      <c r="CM22" s="4">
        <f>U22*Jahresdaten!$AD$2</f>
        <v>0</v>
      </c>
      <c r="CN22" s="112">
        <f>CJ22*Jahresdaten!$AD$2</f>
        <v>0</v>
      </c>
      <c r="CO22" s="366"/>
      <c r="CP22" s="116">
        <f>U22*Jahresdaten!$AD$3</f>
        <v>0</v>
      </c>
      <c r="CQ22" s="12">
        <f>CJ22*Jahresdaten!$AD$3</f>
        <v>0</v>
      </c>
      <c r="CR22" s="353"/>
      <c r="CS22" s="14"/>
      <c r="CT22" s="136"/>
      <c r="CU22" s="140" t="str">
        <f>IF(CT22=0,"",CT22*'Vergleich Holz Strom'!$B$2)</f>
        <v/>
      </c>
      <c r="CV22" s="353"/>
      <c r="CW22" s="366"/>
      <c r="CX22" s="345"/>
      <c r="CY22" s="345"/>
      <c r="CZ22" s="345"/>
      <c r="DA22" s="348"/>
      <c r="DB22" s="94"/>
      <c r="DC22" s="88">
        <f t="shared" si="53"/>
        <v>2070.2613333333329</v>
      </c>
      <c r="DD22" s="94"/>
      <c r="DE22" s="88">
        <f t="shared" si="56"/>
        <v>-1090.1125469999999</v>
      </c>
      <c r="DF22" s="100">
        <f ca="1">BE22+(SUM(CS14:CS25)/12)</f>
        <v>406.91666666666669</v>
      </c>
      <c r="DG22" s="351"/>
      <c r="DH22" s="8">
        <f t="shared" si="68"/>
        <v>0</v>
      </c>
      <c r="DI22" s="123">
        <f t="shared" si="64"/>
        <v>17200</v>
      </c>
      <c r="DJ22" s="2">
        <f t="shared" si="69"/>
        <v>0</v>
      </c>
      <c r="DK22" s="127">
        <f>DK25/12*9</f>
        <v>5850</v>
      </c>
      <c r="DL22" s="2">
        <f t="shared" si="70"/>
        <v>650</v>
      </c>
      <c r="DM22" s="130">
        <f t="shared" si="71"/>
        <v>0</v>
      </c>
      <c r="DN22" s="3">
        <f>DN25/12*9</f>
        <v>2250</v>
      </c>
      <c r="DO22" s="130">
        <f t="shared" si="72"/>
        <v>250</v>
      </c>
      <c r="DP22" s="4">
        <f t="shared" si="73"/>
        <v>0</v>
      </c>
      <c r="DQ22" s="116">
        <f t="shared" si="74"/>
        <v>9100</v>
      </c>
      <c r="DR22" s="116">
        <f t="shared" si="78"/>
        <v>300</v>
      </c>
    </row>
    <row r="23" spans="1:122" ht="14.25" customHeight="1" thickBot="1" x14ac:dyDescent="0.2">
      <c r="A23" s="416"/>
      <c r="B23" s="16">
        <v>44013</v>
      </c>
      <c r="C23" s="207">
        <f>'PV-Felder'!$I$8</f>
        <v>3593.8</v>
      </c>
      <c r="D23" s="351"/>
      <c r="E23" s="61">
        <v>0</v>
      </c>
      <c r="F23" s="351"/>
      <c r="G23" s="56">
        <f t="shared" ca="1" si="0"/>
        <v>-3593.8</v>
      </c>
      <c r="H23" s="351"/>
      <c r="I23" s="61">
        <v>0</v>
      </c>
      <c r="J23" s="351"/>
      <c r="K23" s="61">
        <v>0</v>
      </c>
      <c r="L23" s="351"/>
      <c r="M23" s="65">
        <f t="shared" si="1"/>
        <v>0</v>
      </c>
      <c r="N23" s="373"/>
      <c r="O23" s="61"/>
      <c r="P23" s="288"/>
      <c r="Q23" s="286">
        <f t="shared" si="2"/>
        <v>0</v>
      </c>
      <c r="R23" s="334"/>
      <c r="S23" s="61">
        <v>0</v>
      </c>
      <c r="T23" s="376"/>
      <c r="U23" s="61">
        <v>0</v>
      </c>
      <c r="V23" s="342"/>
      <c r="W23" s="61">
        <v>0</v>
      </c>
      <c r="X23" s="342"/>
      <c r="Y23" s="211" t="e">
        <f t="shared" si="59"/>
        <v>#N/A</v>
      </c>
      <c r="Z23" s="370"/>
      <c r="AA23" s="61">
        <v>0</v>
      </c>
      <c r="AB23" s="351"/>
      <c r="AC23" s="61">
        <v>0</v>
      </c>
      <c r="AD23" s="351"/>
      <c r="AE23" s="73" t="e">
        <f t="shared" si="38"/>
        <v>#N/A</v>
      </c>
      <c r="AF23" s="356"/>
      <c r="AG23" s="73" t="e">
        <f t="shared" si="3"/>
        <v>#N/A</v>
      </c>
      <c r="AH23" s="356"/>
      <c r="AI23" s="221">
        <f>AI22</f>
        <v>29.26</v>
      </c>
      <c r="AJ23" s="78">
        <f t="shared" si="82"/>
        <v>0.26750000000000002</v>
      </c>
      <c r="AK23" s="79">
        <f t="shared" si="82"/>
        <v>9.9166666666666661</v>
      </c>
      <c r="AL23" s="80">
        <f t="shared" si="82"/>
        <v>100</v>
      </c>
      <c r="AM23" s="78">
        <f t="shared" si="82"/>
        <v>0.1060123092573754</v>
      </c>
      <c r="AN23" s="80">
        <f t="shared" si="55"/>
        <v>69</v>
      </c>
      <c r="AO23" s="78">
        <f t="shared" si="82"/>
        <v>0.21099999999999999</v>
      </c>
      <c r="AP23" s="88">
        <f t="shared" si="82"/>
        <v>12</v>
      </c>
      <c r="AQ23" s="64">
        <f t="shared" si="47"/>
        <v>21.5</v>
      </c>
      <c r="AR23" s="64">
        <f t="shared" si="48"/>
        <v>11.5</v>
      </c>
      <c r="AS23" s="88">
        <f t="shared" si="50"/>
        <v>1.1830000000000001</v>
      </c>
      <c r="AT23" s="91">
        <f>AT22</f>
        <v>283</v>
      </c>
      <c r="AU23" s="94"/>
      <c r="AV23" s="95"/>
      <c r="AW23" s="56">
        <f t="shared" si="4"/>
        <v>0</v>
      </c>
      <c r="AX23" s="351"/>
      <c r="AY23" s="100">
        <f t="shared" si="52"/>
        <v>9.9166666666666661</v>
      </c>
      <c r="AZ23" s="360"/>
      <c r="BA23" s="91">
        <f t="shared" si="67"/>
        <v>-143.44588033333338</v>
      </c>
      <c r="BB23" s="5">
        <f t="shared" si="5"/>
        <v>-9.9166666666666661</v>
      </c>
      <c r="BC23" s="363"/>
      <c r="BD23" s="91">
        <f t="shared" ca="1" si="6"/>
        <v>9.9166666666666661</v>
      </c>
      <c r="BE23" s="91">
        <f t="shared" ca="1" si="7"/>
        <v>292.91666666666669</v>
      </c>
      <c r="BF23" s="91">
        <f t="shared" si="8"/>
        <v>31.833333333333329</v>
      </c>
      <c r="BG23" s="91">
        <f t="shared" ca="1" si="9"/>
        <v>21.916666666666664</v>
      </c>
      <c r="BH23" s="91">
        <f t="shared" ca="1" si="61"/>
        <v>-261.08333333333337</v>
      </c>
      <c r="BI23" s="10">
        <f t="shared" ca="1" si="40"/>
        <v>292.91666666666669</v>
      </c>
      <c r="BJ23" s="104">
        <f>((M23+Q23)*AJ23+AK23)+((U23-W23+W23/('Vergleich Holz Strom'!$B$8-0.6))*AO23+AP23)</f>
        <v>21.916666666666664</v>
      </c>
      <c r="BK23" s="10">
        <f t="shared" ca="1" si="11"/>
        <v>-271</v>
      </c>
      <c r="BL23" s="379"/>
      <c r="BM23" s="104">
        <f t="shared" ca="1" si="27"/>
        <v>-4441.1125469999997</v>
      </c>
      <c r="BN23" s="40">
        <f ca="1">IF(ISNUMBER(BK23),BN22+SUMIF(BK14:BK25,"&lt;&gt;#NV",BK14:BK25)/COUNTIF(BK14:BK25,"&lt;&gt;#NV"),#N/A)</f>
        <v>-4541.7792136666649</v>
      </c>
      <c r="BO23" s="10">
        <f ca="1">BK23+AT23+AU23</f>
        <v>12</v>
      </c>
      <c r="BP23" s="104">
        <f ca="1">BP22+BO23</f>
        <v>-62418.302546999999</v>
      </c>
      <c r="BQ23" s="104">
        <f ca="1">IF(B24&lt;=TODAY(),BP23,IF(E23=0,BQ22+BQ11-BQ10,BP23))</f>
        <v>-62418.302546999999</v>
      </c>
      <c r="BR23" s="10">
        <f t="shared" si="12"/>
        <v>9.9166666666666661</v>
      </c>
      <c r="BS23" s="311"/>
      <c r="BT23" s="307"/>
      <c r="BU23" s="295">
        <f t="shared" si="13"/>
        <v>0</v>
      </c>
      <c r="BV23" s="323"/>
      <c r="BW23" s="299">
        <f t="shared" si="14"/>
        <v>0</v>
      </c>
      <c r="BX23" s="295">
        <f t="shared" si="15"/>
        <v>0</v>
      </c>
      <c r="BY23" s="382"/>
      <c r="BZ23" s="299">
        <f t="shared" si="30"/>
        <v>0</v>
      </c>
      <c r="CA23" s="295">
        <f t="shared" si="42"/>
        <v>0</v>
      </c>
      <c r="CB23" s="323"/>
      <c r="CC23" s="314">
        <f t="shared" si="76"/>
        <v>0</v>
      </c>
      <c r="CD23" s="326"/>
      <c r="CE23" s="299">
        <f t="shared" si="17"/>
        <v>0</v>
      </c>
      <c r="CF23" s="284">
        <f t="shared" si="77"/>
        <v>0</v>
      </c>
      <c r="CG23" s="323"/>
      <c r="CH23" s="302">
        <f t="shared" si="58"/>
        <v>0</v>
      </c>
      <c r="CI23" s="108">
        <f t="shared" si="19"/>
        <v>0</v>
      </c>
      <c r="CJ23" s="200">
        <f t="shared" si="20"/>
        <v>0</v>
      </c>
      <c r="CK23" s="197">
        <f t="shared" si="51"/>
        <v>0</v>
      </c>
      <c r="CL23" s="203">
        <f t="shared" si="21"/>
        <v>12</v>
      </c>
      <c r="CM23" s="4">
        <f>U23*Jahresdaten!$AD$2</f>
        <v>0</v>
      </c>
      <c r="CN23" s="112">
        <f>CJ23*Jahresdaten!$AD$2</f>
        <v>0</v>
      </c>
      <c r="CO23" s="366"/>
      <c r="CP23" s="116">
        <f>U23*Jahresdaten!$AD$3</f>
        <v>0</v>
      </c>
      <c r="CQ23" s="12">
        <f>CJ23*Jahresdaten!$AD$3</f>
        <v>0</v>
      </c>
      <c r="CR23" s="353"/>
      <c r="CS23" s="14"/>
      <c r="CT23" s="136"/>
      <c r="CU23" s="140" t="str">
        <f>IF(CT23=0,"",CT23*'Vergleich Holz Strom'!$B$2)</f>
        <v/>
      </c>
      <c r="CV23" s="353"/>
      <c r="CW23" s="366"/>
      <c r="CX23" s="345"/>
      <c r="CY23" s="345"/>
      <c r="CZ23" s="345"/>
      <c r="DA23" s="348"/>
      <c r="DB23" s="94"/>
      <c r="DC23" s="88">
        <f t="shared" si="53"/>
        <v>2160.3446666666664</v>
      </c>
      <c r="DD23" s="94"/>
      <c r="DE23" s="88">
        <f t="shared" si="56"/>
        <v>-1159.1125469999999</v>
      </c>
      <c r="DF23" s="100">
        <f ca="1">BE23+(SUM(CS14:CS25)/12)</f>
        <v>406.91666666666669</v>
      </c>
      <c r="DG23" s="351"/>
      <c r="DH23" s="8">
        <f t="shared" si="68"/>
        <v>0</v>
      </c>
      <c r="DI23" s="123">
        <f t="shared" si="64"/>
        <v>18250</v>
      </c>
      <c r="DJ23" s="2">
        <f t="shared" si="69"/>
        <v>0</v>
      </c>
      <c r="DK23" s="127">
        <f>DK25/12*10</f>
        <v>6500</v>
      </c>
      <c r="DL23" s="2">
        <f t="shared" si="70"/>
        <v>650</v>
      </c>
      <c r="DM23" s="130">
        <f t="shared" si="71"/>
        <v>0</v>
      </c>
      <c r="DN23" s="3">
        <f>DN25/12*10</f>
        <v>2500</v>
      </c>
      <c r="DO23" s="130">
        <f t="shared" si="72"/>
        <v>250</v>
      </c>
      <c r="DP23" s="4">
        <f t="shared" si="73"/>
        <v>0</v>
      </c>
      <c r="DQ23" s="116">
        <f t="shared" si="74"/>
        <v>9250</v>
      </c>
      <c r="DR23" s="116">
        <f t="shared" si="78"/>
        <v>150</v>
      </c>
    </row>
    <row r="24" spans="1:122" ht="14.25" customHeight="1" thickBot="1" x14ac:dyDescent="0.2">
      <c r="A24" s="416"/>
      <c r="B24" s="16">
        <v>44044</v>
      </c>
      <c r="C24" s="207">
        <f>'PV-Felder'!$I$9</f>
        <v>3065.7</v>
      </c>
      <c r="D24" s="351"/>
      <c r="E24" s="61">
        <v>0</v>
      </c>
      <c r="F24" s="351"/>
      <c r="G24" s="56">
        <f t="shared" ca="1" si="0"/>
        <v>-3065.7</v>
      </c>
      <c r="H24" s="351"/>
      <c r="I24" s="61">
        <v>0</v>
      </c>
      <c r="J24" s="351"/>
      <c r="K24" s="61">
        <v>0</v>
      </c>
      <c r="L24" s="351"/>
      <c r="M24" s="65">
        <f t="shared" si="1"/>
        <v>0</v>
      </c>
      <c r="N24" s="373"/>
      <c r="O24" s="288"/>
      <c r="P24" s="288"/>
      <c r="Q24" s="286">
        <f t="shared" si="2"/>
        <v>0</v>
      </c>
      <c r="R24" s="334"/>
      <c r="S24" s="61">
        <v>0</v>
      </c>
      <c r="T24" s="376"/>
      <c r="U24" s="61">
        <v>0</v>
      </c>
      <c r="V24" s="342"/>
      <c r="W24" s="61">
        <v>0</v>
      </c>
      <c r="X24" s="342"/>
      <c r="Y24" s="211" t="e">
        <f t="shared" si="59"/>
        <v>#N/A</v>
      </c>
      <c r="Z24" s="370"/>
      <c r="AA24" s="61">
        <v>0</v>
      </c>
      <c r="AB24" s="351"/>
      <c r="AC24" s="61">
        <v>0</v>
      </c>
      <c r="AD24" s="351"/>
      <c r="AE24" s="73" t="e">
        <f t="shared" si="38"/>
        <v>#N/A</v>
      </c>
      <c r="AF24" s="356"/>
      <c r="AG24" s="73" t="e">
        <f t="shared" si="3"/>
        <v>#N/A</v>
      </c>
      <c r="AH24" s="356"/>
      <c r="AI24" s="221">
        <f t="shared" si="75"/>
        <v>29.26</v>
      </c>
      <c r="AJ24" s="78">
        <f t="shared" si="82"/>
        <v>0.26750000000000002</v>
      </c>
      <c r="AK24" s="79">
        <f t="shared" si="82"/>
        <v>9.9166666666666661</v>
      </c>
      <c r="AL24" s="80">
        <f t="shared" si="82"/>
        <v>100</v>
      </c>
      <c r="AM24" s="78">
        <f t="shared" si="82"/>
        <v>0.1060123092573754</v>
      </c>
      <c r="AN24" s="80">
        <f t="shared" si="55"/>
        <v>69</v>
      </c>
      <c r="AO24" s="78">
        <f t="shared" si="82"/>
        <v>0.21099999999999999</v>
      </c>
      <c r="AP24" s="88">
        <f t="shared" si="82"/>
        <v>12</v>
      </c>
      <c r="AQ24" s="64">
        <f t="shared" si="47"/>
        <v>21.5</v>
      </c>
      <c r="AR24" s="64">
        <f t="shared" si="48"/>
        <v>11.5</v>
      </c>
      <c r="AS24" s="88">
        <f t="shared" si="50"/>
        <v>1.1830000000000001</v>
      </c>
      <c r="AT24" s="91">
        <f t="shared" si="80"/>
        <v>283</v>
      </c>
      <c r="AU24" s="94"/>
      <c r="AV24" s="95"/>
      <c r="AW24" s="56">
        <f t="shared" si="4"/>
        <v>0</v>
      </c>
      <c r="AX24" s="351"/>
      <c r="AY24" s="100">
        <f t="shared" si="52"/>
        <v>9.9166666666666661</v>
      </c>
      <c r="AZ24" s="360"/>
      <c r="BA24" s="91">
        <f t="shared" si="67"/>
        <v>-153.36254700000003</v>
      </c>
      <c r="BB24" s="5">
        <f t="shared" si="5"/>
        <v>-9.9166666666666661</v>
      </c>
      <c r="BC24" s="363"/>
      <c r="BD24" s="91">
        <f t="shared" ca="1" si="6"/>
        <v>9.9166666666666661</v>
      </c>
      <c r="BE24" s="91">
        <f t="shared" ca="1" si="7"/>
        <v>292.91666666666669</v>
      </c>
      <c r="BF24" s="91">
        <f t="shared" si="8"/>
        <v>31.833333333333329</v>
      </c>
      <c r="BG24" s="91">
        <f t="shared" ca="1" si="9"/>
        <v>21.916666666666664</v>
      </c>
      <c r="BH24" s="91">
        <f t="shared" ca="1" si="61"/>
        <v>-261.08333333333337</v>
      </c>
      <c r="BI24" s="10">
        <f t="shared" ca="1" si="40"/>
        <v>292.91666666666669</v>
      </c>
      <c r="BJ24" s="104">
        <f>((M24+Q24)*AJ24+AK24)+((U24-W24+W24/('Vergleich Holz Strom'!$B$8-0.6))*AO24+AP24)</f>
        <v>21.916666666666664</v>
      </c>
      <c r="BK24" s="10">
        <f t="shared" ca="1" si="11"/>
        <v>-271</v>
      </c>
      <c r="BL24" s="379"/>
      <c r="BM24" s="104">
        <f t="shared" ca="1" si="27"/>
        <v>-4712.1125469999997</v>
      </c>
      <c r="BN24" s="40">
        <f ca="1">IF(ISNUMBER(BK24),BN23+SUMIF(BK14:BK25,"&lt;&gt;#NV",BK14:BK25)/COUNTIF(BK14:BK25,"&lt;&gt;#NV"),#N/A)</f>
        <v>-4762.4458803333318</v>
      </c>
      <c r="BO24" s="10">
        <f t="shared" ref="BO24:BO25" ca="1" si="83">BK24+AT24+AU24</f>
        <v>12</v>
      </c>
      <c r="BP24" s="104">
        <f t="shared" ca="1" si="29"/>
        <v>-62406.302546999999</v>
      </c>
      <c r="BQ24" s="104">
        <f ca="1">IF(B25&lt;=TODAY(),BP24,IF(E24=0,BQ23+BQ12-BQ11,BP24))</f>
        <v>-62406.302546999999</v>
      </c>
      <c r="BR24" s="10">
        <f t="shared" si="12"/>
        <v>9.9166666666666661</v>
      </c>
      <c r="BS24" s="311"/>
      <c r="BT24" s="307"/>
      <c r="BU24" s="295">
        <f t="shared" si="13"/>
        <v>0</v>
      </c>
      <c r="BV24" s="323"/>
      <c r="BW24" s="299">
        <f t="shared" si="14"/>
        <v>0</v>
      </c>
      <c r="BX24" s="295">
        <f t="shared" si="15"/>
        <v>0</v>
      </c>
      <c r="BY24" s="382"/>
      <c r="BZ24" s="299">
        <f t="shared" si="30"/>
        <v>0</v>
      </c>
      <c r="CA24" s="295">
        <f t="shared" si="42"/>
        <v>0</v>
      </c>
      <c r="CB24" s="323"/>
      <c r="CC24" s="314">
        <f t="shared" si="76"/>
        <v>0</v>
      </c>
      <c r="CD24" s="326"/>
      <c r="CE24" s="299">
        <f t="shared" si="17"/>
        <v>0</v>
      </c>
      <c r="CF24" s="284">
        <f t="shared" si="77"/>
        <v>0</v>
      </c>
      <c r="CG24" s="323"/>
      <c r="CH24" s="302">
        <f t="shared" si="58"/>
        <v>0</v>
      </c>
      <c r="CI24" s="108">
        <f t="shared" si="19"/>
        <v>0</v>
      </c>
      <c r="CJ24" s="200">
        <f t="shared" si="20"/>
        <v>0</v>
      </c>
      <c r="CK24" s="197">
        <f t="shared" si="51"/>
        <v>0</v>
      </c>
      <c r="CL24" s="203">
        <f t="shared" si="21"/>
        <v>12</v>
      </c>
      <c r="CM24" s="4">
        <f>U24*Jahresdaten!$AD$2</f>
        <v>0</v>
      </c>
      <c r="CN24" s="112">
        <f>CJ24*Jahresdaten!$AD$2</f>
        <v>0</v>
      </c>
      <c r="CO24" s="366"/>
      <c r="CP24" s="116">
        <f>U24*Jahresdaten!$AD$3</f>
        <v>0</v>
      </c>
      <c r="CQ24" s="12">
        <f>CJ24*Jahresdaten!$AD$3</f>
        <v>0</v>
      </c>
      <c r="CR24" s="353"/>
      <c r="CS24" s="14"/>
      <c r="CT24" s="136"/>
      <c r="CU24" s="140" t="str">
        <f>IF(CT24=0,"",CT24*'Vergleich Holz Strom'!$B$2)</f>
        <v/>
      </c>
      <c r="CV24" s="353"/>
      <c r="CW24" s="366"/>
      <c r="CX24" s="345"/>
      <c r="CY24" s="345"/>
      <c r="CZ24" s="345"/>
      <c r="DA24" s="348"/>
      <c r="DB24" s="94"/>
      <c r="DC24" s="88">
        <f t="shared" si="53"/>
        <v>2250.4279999999999</v>
      </c>
      <c r="DD24" s="94"/>
      <c r="DE24" s="88">
        <f t="shared" si="56"/>
        <v>-1228.1125469999999</v>
      </c>
      <c r="DF24" s="100">
        <f ca="1">BE24+(SUM(CS14:CS25)/12)</f>
        <v>406.91666666666669</v>
      </c>
      <c r="DG24" s="351"/>
      <c r="DH24" s="8">
        <f t="shared" si="68"/>
        <v>0</v>
      </c>
      <c r="DI24" s="123">
        <f t="shared" si="64"/>
        <v>19300</v>
      </c>
      <c r="DJ24" s="2">
        <f t="shared" si="69"/>
        <v>0</v>
      </c>
      <c r="DK24" s="127">
        <f>DK25/12*11</f>
        <v>7150</v>
      </c>
      <c r="DL24" s="2">
        <f t="shared" si="70"/>
        <v>650</v>
      </c>
      <c r="DM24" s="130">
        <f t="shared" si="71"/>
        <v>0</v>
      </c>
      <c r="DN24" s="3">
        <f>DN25/12*11</f>
        <v>2750</v>
      </c>
      <c r="DO24" s="130">
        <f t="shared" si="72"/>
        <v>250</v>
      </c>
      <c r="DP24" s="4">
        <f t="shared" si="73"/>
        <v>0</v>
      </c>
      <c r="DQ24" s="116">
        <f t="shared" si="74"/>
        <v>9400</v>
      </c>
      <c r="DR24" s="116">
        <f t="shared" si="78"/>
        <v>150</v>
      </c>
    </row>
    <row r="25" spans="1:122" s="28" customFormat="1" ht="15" customHeight="1" thickBot="1" x14ac:dyDescent="0.2">
      <c r="A25" s="417"/>
      <c r="B25" s="18">
        <v>44075</v>
      </c>
      <c r="C25" s="208">
        <f>'PV-Felder'!$I$10</f>
        <v>2246.7000000000003</v>
      </c>
      <c r="D25" s="352"/>
      <c r="E25" s="63">
        <v>0</v>
      </c>
      <c r="F25" s="351"/>
      <c r="G25" s="57">
        <f t="shared" ca="1" si="0"/>
        <v>-2246.7000000000003</v>
      </c>
      <c r="H25" s="352"/>
      <c r="I25" s="63">
        <v>0</v>
      </c>
      <c r="J25" s="352"/>
      <c r="K25" s="63">
        <v>0</v>
      </c>
      <c r="L25" s="352"/>
      <c r="M25" s="67">
        <f t="shared" si="1"/>
        <v>0</v>
      </c>
      <c r="N25" s="374"/>
      <c r="O25" s="290"/>
      <c r="P25" s="290"/>
      <c r="Q25" s="289">
        <f t="shared" si="2"/>
        <v>0</v>
      </c>
      <c r="R25" s="334"/>
      <c r="S25" s="63">
        <v>0</v>
      </c>
      <c r="T25" s="377"/>
      <c r="U25" s="63">
        <v>0</v>
      </c>
      <c r="V25" s="343"/>
      <c r="W25" s="63">
        <v>0</v>
      </c>
      <c r="X25" s="343"/>
      <c r="Y25" s="213" t="e">
        <f t="shared" si="59"/>
        <v>#N/A</v>
      </c>
      <c r="Z25" s="371"/>
      <c r="AA25" s="63">
        <v>0</v>
      </c>
      <c r="AB25" s="352"/>
      <c r="AC25" s="63">
        <v>0</v>
      </c>
      <c r="AD25" s="352"/>
      <c r="AE25" s="73" t="e">
        <f t="shared" si="38"/>
        <v>#N/A</v>
      </c>
      <c r="AF25" s="357"/>
      <c r="AG25" s="75" t="e">
        <f t="shared" si="3"/>
        <v>#N/A</v>
      </c>
      <c r="AH25" s="357"/>
      <c r="AI25" s="223">
        <f>AI24</f>
        <v>29.26</v>
      </c>
      <c r="AJ25" s="83">
        <f t="shared" si="82"/>
        <v>0.26750000000000002</v>
      </c>
      <c r="AK25" s="21">
        <f t="shared" si="82"/>
        <v>9.9166666666666661</v>
      </c>
      <c r="AL25" s="84">
        <f t="shared" si="82"/>
        <v>100</v>
      </c>
      <c r="AM25" s="83">
        <f t="shared" si="82"/>
        <v>0.1060123092573754</v>
      </c>
      <c r="AN25" s="80">
        <f t="shared" si="55"/>
        <v>69</v>
      </c>
      <c r="AO25" s="83">
        <f t="shared" si="82"/>
        <v>0.21099999999999999</v>
      </c>
      <c r="AP25" s="90">
        <f t="shared" si="82"/>
        <v>12</v>
      </c>
      <c r="AQ25" s="125">
        <f t="shared" si="47"/>
        <v>21.5</v>
      </c>
      <c r="AR25" s="125">
        <f t="shared" si="48"/>
        <v>11.5</v>
      </c>
      <c r="AS25" s="92">
        <f t="shared" si="50"/>
        <v>1.1830000000000001</v>
      </c>
      <c r="AT25" s="92">
        <f t="shared" si="80"/>
        <v>283</v>
      </c>
      <c r="AU25" s="98"/>
      <c r="AV25" s="99"/>
      <c r="AW25" s="57">
        <f t="shared" si="4"/>
        <v>0</v>
      </c>
      <c r="AX25" s="352"/>
      <c r="AY25" s="102">
        <f t="shared" si="52"/>
        <v>9.9166666666666661</v>
      </c>
      <c r="AZ25" s="361"/>
      <c r="BA25" s="92">
        <f t="shared" si="67"/>
        <v>-163.27921366666669</v>
      </c>
      <c r="BB25" s="22">
        <f t="shared" si="5"/>
        <v>-9.9166666666666661</v>
      </c>
      <c r="BC25" s="364"/>
      <c r="BD25" s="92">
        <f t="shared" ca="1" si="6"/>
        <v>9.9166666666666661</v>
      </c>
      <c r="BE25" s="92">
        <f t="shared" ca="1" si="7"/>
        <v>292.91666666666669</v>
      </c>
      <c r="BF25" s="92">
        <f t="shared" si="8"/>
        <v>31.833333333333329</v>
      </c>
      <c r="BG25" s="92">
        <f t="shared" ca="1" si="9"/>
        <v>21.916666666666664</v>
      </c>
      <c r="BH25" s="92">
        <f t="shared" ca="1" si="61"/>
        <v>-261.08333333333337</v>
      </c>
      <c r="BI25" s="24">
        <f t="shared" ca="1" si="40"/>
        <v>292.91666666666669</v>
      </c>
      <c r="BJ25" s="106">
        <f>((M25+Q25)*AJ25+AK25)+((U25-W25+W25/('Vergleich Holz Strom'!$B$8-0.6))*AO25+AP25)</f>
        <v>21.916666666666664</v>
      </c>
      <c r="BK25" s="24">
        <f t="shared" ca="1" si="11"/>
        <v>-271</v>
      </c>
      <c r="BL25" s="380"/>
      <c r="BM25" s="106">
        <f t="shared" ca="1" si="27"/>
        <v>-4983.1125469999997</v>
      </c>
      <c r="BN25" s="226">
        <f ca="1">IF(ISNUMBER(BK25),BN24+SUMIF(BK14:BK25,"&lt;&gt;#NV",BK14:BK25)/COUNTIF(BK14:BK25,"&lt;&gt;#NV"),#N/A)</f>
        <v>-4983.1125469999988</v>
      </c>
      <c r="BO25" s="318">
        <f t="shared" ca="1" si="83"/>
        <v>12</v>
      </c>
      <c r="BP25" s="106">
        <f t="shared" ca="1" si="29"/>
        <v>-62394.302546999999</v>
      </c>
      <c r="BQ25" s="106">
        <f ca="1">IF(B26&lt;=TODAY(),BP25,IF(E25=0,BQ24+BQ13-BQ12,BP25))</f>
        <v>-62394.302546999999</v>
      </c>
      <c r="BR25" s="24">
        <f t="shared" si="12"/>
        <v>9.9166666666666661</v>
      </c>
      <c r="BS25" s="312"/>
      <c r="BT25" s="308"/>
      <c r="BU25" s="296">
        <f t="shared" si="13"/>
        <v>0</v>
      </c>
      <c r="BV25" s="324"/>
      <c r="BW25" s="292">
        <f t="shared" si="14"/>
        <v>0</v>
      </c>
      <c r="BX25" s="295">
        <f t="shared" si="15"/>
        <v>0</v>
      </c>
      <c r="BY25" s="382"/>
      <c r="BZ25" s="299">
        <f t="shared" si="30"/>
        <v>0</v>
      </c>
      <c r="CA25" s="296">
        <f t="shared" si="42"/>
        <v>0</v>
      </c>
      <c r="CB25" s="324"/>
      <c r="CC25" s="315">
        <f t="shared" si="76"/>
        <v>0</v>
      </c>
      <c r="CD25" s="327"/>
      <c r="CE25" s="292">
        <f t="shared" si="17"/>
        <v>0</v>
      </c>
      <c r="CF25" s="296">
        <f t="shared" si="77"/>
        <v>0</v>
      </c>
      <c r="CG25" s="324"/>
      <c r="CH25" s="303">
        <f t="shared" si="58"/>
        <v>0</v>
      </c>
      <c r="CI25" s="110">
        <f t="shared" si="19"/>
        <v>0</v>
      </c>
      <c r="CJ25" s="200">
        <f t="shared" si="20"/>
        <v>0</v>
      </c>
      <c r="CK25" s="25">
        <f t="shared" si="51"/>
        <v>0</v>
      </c>
      <c r="CL25" s="204">
        <f t="shared" si="21"/>
        <v>12</v>
      </c>
      <c r="CM25" s="26">
        <f>U25*Jahresdaten!$AD$2</f>
        <v>0</v>
      </c>
      <c r="CN25" s="114">
        <f>CJ25*Jahresdaten!$AD$2</f>
        <v>0</v>
      </c>
      <c r="CO25" s="346"/>
      <c r="CP25" s="118">
        <f>U25*Jahresdaten!$AD$3</f>
        <v>0</v>
      </c>
      <c r="CQ25" s="25">
        <f>CJ25*Jahresdaten!$AD$3</f>
        <v>0</v>
      </c>
      <c r="CR25" s="354"/>
      <c r="CS25" s="23"/>
      <c r="CT25" s="138"/>
      <c r="CU25" s="141" t="str">
        <f>IF(CT25=0,"",CT25*'Vergleich Holz Strom'!$B$2)</f>
        <v/>
      </c>
      <c r="CV25" s="354"/>
      <c r="CW25" s="346"/>
      <c r="CX25" s="346"/>
      <c r="CY25" s="346"/>
      <c r="CZ25" s="346"/>
      <c r="DA25" s="349"/>
      <c r="DB25" s="98"/>
      <c r="DC25" s="90">
        <f t="shared" si="53"/>
        <v>2340.5113333333334</v>
      </c>
      <c r="DD25" s="98"/>
      <c r="DE25" s="90">
        <f t="shared" si="56"/>
        <v>-1297.1125469999999</v>
      </c>
      <c r="DF25" s="102">
        <f ca="1">BE25+(SUM(CS14:CS25)/12)</f>
        <v>406.91666666666669</v>
      </c>
      <c r="DG25" s="352"/>
      <c r="DH25" s="19">
        <f t="shared" si="68"/>
        <v>0</v>
      </c>
      <c r="DI25" s="125">
        <f t="shared" si="64"/>
        <v>20800</v>
      </c>
      <c r="DJ25" s="20">
        <f t="shared" si="69"/>
        <v>0</v>
      </c>
      <c r="DK25" s="129">
        <f>DK13</f>
        <v>7800</v>
      </c>
      <c r="DL25" s="20">
        <f t="shared" si="70"/>
        <v>650</v>
      </c>
      <c r="DM25" s="132">
        <f t="shared" si="71"/>
        <v>0</v>
      </c>
      <c r="DN25" s="27">
        <f>DN13</f>
        <v>3000</v>
      </c>
      <c r="DO25" s="132">
        <f t="shared" si="72"/>
        <v>250</v>
      </c>
      <c r="DP25" s="26">
        <f t="shared" si="73"/>
        <v>0</v>
      </c>
      <c r="DQ25" s="118">
        <f>DQ13</f>
        <v>10000</v>
      </c>
      <c r="DR25" s="118">
        <f>DR13</f>
        <v>600</v>
      </c>
    </row>
    <row r="26" spans="1:122" ht="15" customHeight="1" thickBot="1" x14ac:dyDescent="0.2">
      <c r="A26" s="415" t="s">
        <v>160</v>
      </c>
      <c r="B26" s="16">
        <v>44105</v>
      </c>
      <c r="C26" s="207">
        <f>'PV-Felder'!$I$11</f>
        <v>1416.7</v>
      </c>
      <c r="D26" s="358">
        <f>SUMIF(E26:E37,"&gt;0",C26:C37)</f>
        <v>0</v>
      </c>
      <c r="E26" s="61">
        <v>0</v>
      </c>
      <c r="F26" s="368">
        <f>SUM(E26:E37)</f>
        <v>0</v>
      </c>
      <c r="G26" s="58">
        <f t="shared" ca="1" si="0"/>
        <v>-1416.7</v>
      </c>
      <c r="H26" s="358">
        <f ca="1">IF(TODAY()&lt;B26,#N/A,F26-D26)</f>
        <v>0</v>
      </c>
      <c r="I26" s="61">
        <v>0</v>
      </c>
      <c r="J26" s="368">
        <f>SUM(I26:I37)</f>
        <v>0</v>
      </c>
      <c r="K26" s="61">
        <v>0</v>
      </c>
      <c r="L26" s="368">
        <f>SUM(K26:K37)</f>
        <v>0</v>
      </c>
      <c r="M26" s="66">
        <f t="shared" si="1"/>
        <v>0</v>
      </c>
      <c r="N26" s="372">
        <f>SUM(M26:M37)</f>
        <v>0</v>
      </c>
      <c r="Q26" s="287">
        <f t="shared" si="2"/>
        <v>0</v>
      </c>
      <c r="R26" s="333">
        <f>SUM(Q26:Q37)</f>
        <v>0</v>
      </c>
      <c r="S26" s="61">
        <v>0</v>
      </c>
      <c r="T26" s="375">
        <f>SUM(S26:S37)</f>
        <v>0</v>
      </c>
      <c r="U26" s="61">
        <v>0</v>
      </c>
      <c r="V26" s="341">
        <f>SUM(U26:U37)</f>
        <v>0</v>
      </c>
      <c r="W26" s="61">
        <v>0</v>
      </c>
      <c r="X26" s="341">
        <f>SUM(W26:W37)</f>
        <v>0</v>
      </c>
      <c r="Y26" s="211" t="e">
        <f t="shared" si="59"/>
        <v>#N/A</v>
      </c>
      <c r="Z26" s="369">
        <f>N26+T26+V26</f>
        <v>0</v>
      </c>
      <c r="AA26" s="61">
        <v>0</v>
      </c>
      <c r="AB26" s="368">
        <f>SUM(AA26:AA37)</f>
        <v>0</v>
      </c>
      <c r="AC26" s="61">
        <v>0</v>
      </c>
      <c r="AD26" s="368">
        <f>SUM(AC26:AC37)</f>
        <v>0</v>
      </c>
      <c r="AE26" s="74" t="e">
        <f t="shared" si="38"/>
        <v>#N/A</v>
      </c>
      <c r="AF26" s="355" t="e">
        <f>IF(SUMIF(AE26:AE37,"&gt;0")&gt;0,SUMIF(AE26:AE37,"&gt;0")/COUNTIF(AE26:AE37,"&gt;0"),#N/A)</f>
        <v>#N/A</v>
      </c>
      <c r="AG26" s="73" t="e">
        <f t="shared" si="3"/>
        <v>#N/A</v>
      </c>
      <c r="AH26" s="355" t="e">
        <f>IF(SUMIF(AG26:AG37,"&gt;0")&gt;0,SUMIF(AG26:AG37,"&gt;0")/COUNTIF(AG26:AG37,"&gt;0"),#N/A)</f>
        <v>#N/A</v>
      </c>
      <c r="AI26" s="222">
        <f>AI25</f>
        <v>29.26</v>
      </c>
      <c r="AJ26" s="78">
        <f t="shared" ref="AJ26:AP26" si="84">AJ25</f>
        <v>0.26750000000000002</v>
      </c>
      <c r="AK26" s="79">
        <f t="shared" si="84"/>
        <v>9.9166666666666661</v>
      </c>
      <c r="AL26" s="80">
        <f>AL25</f>
        <v>100</v>
      </c>
      <c r="AM26" s="81">
        <f t="shared" si="82"/>
        <v>0.1060123092573754</v>
      </c>
      <c r="AN26" s="82">
        <f t="shared" si="55"/>
        <v>69</v>
      </c>
      <c r="AO26" s="78">
        <f t="shared" si="84"/>
        <v>0.21099999999999999</v>
      </c>
      <c r="AP26" s="88">
        <f t="shared" si="84"/>
        <v>12</v>
      </c>
      <c r="AQ26" s="64">
        <f t="shared" si="47"/>
        <v>21.5</v>
      </c>
      <c r="AR26" s="64">
        <f t="shared" si="48"/>
        <v>11.5</v>
      </c>
      <c r="AS26" s="88">
        <f t="shared" si="50"/>
        <v>1.1830000000000001</v>
      </c>
      <c r="AT26" s="91">
        <f>AT25</f>
        <v>283</v>
      </c>
      <c r="AU26" s="94"/>
      <c r="AV26" s="95"/>
      <c r="AW26" s="56">
        <f t="shared" si="4"/>
        <v>0</v>
      </c>
      <c r="AX26" s="368">
        <f>SUM(AW26:AW37)</f>
        <v>0</v>
      </c>
      <c r="AY26" s="100">
        <f t="shared" si="52"/>
        <v>9.9166666666666661</v>
      </c>
      <c r="AZ26" s="350">
        <f>SUM(AY26:AY37)</f>
        <v>119.00000000000001</v>
      </c>
      <c r="BA26" s="103">
        <f>BA25-AY26</f>
        <v>-173.19588033333335</v>
      </c>
      <c r="BB26" s="5">
        <f t="shared" si="5"/>
        <v>-9.9166666666666661</v>
      </c>
      <c r="BC26" s="386">
        <f>SUM(AY26:AY37)/12</f>
        <v>9.9166666666666679</v>
      </c>
      <c r="BD26" s="91">
        <f t="shared" ca="1" si="6"/>
        <v>9.9166666666666661</v>
      </c>
      <c r="BE26" s="91">
        <f t="shared" ca="1" si="7"/>
        <v>292.91666666666669</v>
      </c>
      <c r="BF26" s="91">
        <f t="shared" si="8"/>
        <v>31.833333333333329</v>
      </c>
      <c r="BG26" s="91">
        <f t="shared" ca="1" si="9"/>
        <v>21.916666666666664</v>
      </c>
      <c r="BH26" s="91">
        <f t="shared" ca="1" si="61"/>
        <v>-261.08333333333337</v>
      </c>
      <c r="BI26" s="10">
        <f t="shared" ca="1" si="40"/>
        <v>292.91666666666669</v>
      </c>
      <c r="BJ26" s="104">
        <f>((M26+Q26)*AJ26+AK26)+((U26-W26+W26/('Vergleich Holz Strom'!$B$8-0.6))*AO26+AP26)</f>
        <v>21.916666666666664</v>
      </c>
      <c r="BK26" s="10">
        <f t="shared" ca="1" si="11"/>
        <v>-271</v>
      </c>
      <c r="BL26" s="378">
        <f ca="1">SUMIF(BK26:BK37,"&lt;&gt;#NV",BK26:BK37)</f>
        <v>-1084</v>
      </c>
      <c r="BM26" s="104">
        <f t="shared" ca="1" si="27"/>
        <v>-5254.1125469999997</v>
      </c>
      <c r="BN26" s="40">
        <f ca="1">IF(ISNUMBER(BK26),BN25+SUMIF(BK26:BK37,"&lt;&gt;#NV",BK26:BK37)/COUNTIF(BK26:BK37,"&lt;&gt;#NV"),#N/A)</f>
        <v>-5254.1125469999988</v>
      </c>
      <c r="BO26" s="10">
        <f t="shared" ca="1" si="62"/>
        <v>12</v>
      </c>
      <c r="BP26" s="105">
        <f t="shared" ca="1" si="29"/>
        <v>-62382.302546999999</v>
      </c>
      <c r="BQ26" s="104">
        <f t="shared" ref="BQ26:BQ31" ca="1" si="85">IF(B27&lt;=TODAY(),BP26,IF(E26=0,BQ25+BQ14*1.6-BQ13*1.6,BP26))</f>
        <v>-62382.302546999999</v>
      </c>
      <c r="BR26" s="10">
        <f t="shared" si="12"/>
        <v>9.9166666666666661</v>
      </c>
      <c r="BS26" s="311"/>
      <c r="BT26" s="307"/>
      <c r="BU26" s="295">
        <f t="shared" si="13"/>
        <v>0</v>
      </c>
      <c r="BV26" s="322">
        <f>SUM(BU26:BU37)</f>
        <v>0</v>
      </c>
      <c r="BW26" s="300">
        <f t="shared" si="14"/>
        <v>0</v>
      </c>
      <c r="BX26" s="305">
        <f t="shared" si="15"/>
        <v>0</v>
      </c>
      <c r="BY26" s="381">
        <f>SUM(BX26:BX37)</f>
        <v>0</v>
      </c>
      <c r="BZ26" s="300">
        <f t="shared" si="30"/>
        <v>0</v>
      </c>
      <c r="CA26" s="295">
        <f t="shared" si="42"/>
        <v>0</v>
      </c>
      <c r="CB26" s="322">
        <f>SUM(CA26:CA37)</f>
        <v>0</v>
      </c>
      <c r="CC26" s="314">
        <f t="shared" si="76"/>
        <v>0</v>
      </c>
      <c r="CD26" s="325">
        <f>SUM(CC26:CC37)</f>
        <v>0</v>
      </c>
      <c r="CE26" s="299">
        <f t="shared" si="17"/>
        <v>0</v>
      </c>
      <c r="CF26" s="284">
        <f t="shared" si="77"/>
        <v>0</v>
      </c>
      <c r="CG26" s="328">
        <f>SUM(CF26:CF37)</f>
        <v>0</v>
      </c>
      <c r="CH26" s="302">
        <f t="shared" si="58"/>
        <v>0</v>
      </c>
      <c r="CI26" s="108">
        <f t="shared" si="19"/>
        <v>0</v>
      </c>
      <c r="CJ26" s="201">
        <f t="shared" si="20"/>
        <v>0</v>
      </c>
      <c r="CK26" s="197">
        <f t="shared" si="51"/>
        <v>0</v>
      </c>
      <c r="CL26" s="203">
        <f t="shared" si="21"/>
        <v>12</v>
      </c>
      <c r="CM26" s="4">
        <f>U26*Jahresdaten!$AD$2</f>
        <v>0</v>
      </c>
      <c r="CN26" s="112">
        <f>CJ26*Jahresdaten!$AD$2</f>
        <v>0</v>
      </c>
      <c r="CO26" s="384">
        <f>CW26*Jahresdaten!$AD$2</f>
        <v>856.59076092206669</v>
      </c>
      <c r="CP26" s="116">
        <f>U26*Jahresdaten!$AD$3</f>
        <v>0</v>
      </c>
      <c r="CQ26" s="12">
        <f>CJ26*Jahresdaten!$AD$3</f>
        <v>0</v>
      </c>
      <c r="CR26" s="385">
        <f>CW26*Jahresdaten!$AD$3</f>
        <v>312.40923907793319</v>
      </c>
      <c r="CS26" s="14">
        <v>1169</v>
      </c>
      <c r="CT26" s="136">
        <v>12</v>
      </c>
      <c r="CU26" s="140">
        <f>IF(CT26=0,"",CT26*'Vergleich Holz Strom'!$B$2)</f>
        <v>25800</v>
      </c>
      <c r="CV26" s="120" t="s">
        <v>7</v>
      </c>
      <c r="CW26" s="384">
        <f>CV27+CV33</f>
        <v>1169</v>
      </c>
      <c r="CX26" s="344">
        <f>SUM(CS26:CS37)/SUM(CU26:CU37)*(SUM(CU26:CU37)+(V26*('Vergleich Holz Strom'!$B$8-0.6)/'Vergleich Holz Strom'!$E$6))</f>
        <v>1169</v>
      </c>
      <c r="CY26" s="344">
        <f>SUM(CU26:CU37)*'Vergleich Holz Strom'!$E$6/('Vergleich Holz Strom'!$B$8-0.6)*(SUM(AJ26:AJ37)/12)+CV27</f>
        <v>1420.8970588235295</v>
      </c>
      <c r="CZ26" s="344">
        <f>SUM(CU26:CU37)*'Vergleich Holz Strom'!$E$6/('Vergleich Holz Strom'!$B$8-0.6)*SUM(AM26:AM37)/12+SUM(CK26:CK37)</f>
        <v>536.36319951703604</v>
      </c>
      <c r="DA26" s="347">
        <f>SUM(CU26:CU37)*'Vergleich Holz Strom'!$E$6/('Vergleich Holz Strom'!$B$8-0.6)*(SUM(AO26:AO37)/12)+SUM(CL26:CL37)</f>
        <v>1264.7823529411764</v>
      </c>
      <c r="DB26" s="94"/>
      <c r="DC26" s="88">
        <f t="shared" si="53"/>
        <v>2430.5946666666669</v>
      </c>
      <c r="DD26" s="94"/>
      <c r="DE26" s="88">
        <f t="shared" si="56"/>
        <v>-1366.1125469999999</v>
      </c>
      <c r="DF26" s="100">
        <f ca="1">BE26+(SUM(CS26:CS37)/12)</f>
        <v>390.33333333333337</v>
      </c>
      <c r="DG26" s="350">
        <f ca="1">SUMIF(DF26:DF37,"&gt;0")</f>
        <v>1561.3333333333335</v>
      </c>
      <c r="DH26" s="8">
        <f>M26+S26+U26</f>
        <v>0</v>
      </c>
      <c r="DI26" s="123">
        <f t="shared" ref="DI26:DI37" si="86">DK26+DN26+DQ26</f>
        <v>1850</v>
      </c>
      <c r="DJ26" s="2">
        <f>M26</f>
        <v>0</v>
      </c>
      <c r="DK26" s="127">
        <f>DK37/12*1</f>
        <v>650</v>
      </c>
      <c r="DL26" s="2">
        <f>DL25</f>
        <v>650</v>
      </c>
      <c r="DM26" s="130">
        <f>S26</f>
        <v>0</v>
      </c>
      <c r="DN26" s="3">
        <f>DN37/12*1</f>
        <v>250</v>
      </c>
      <c r="DO26" s="130">
        <f>DO25</f>
        <v>250</v>
      </c>
      <c r="DP26" s="4">
        <f>U26</f>
        <v>0</v>
      </c>
      <c r="DQ26" s="116">
        <f>DR26</f>
        <v>950</v>
      </c>
      <c r="DR26" s="116">
        <f>DR14</f>
        <v>950</v>
      </c>
    </row>
    <row r="27" spans="1:122" ht="14.25" customHeight="1" thickBot="1" x14ac:dyDescent="0.2">
      <c r="A27" s="416"/>
      <c r="B27" s="16">
        <v>44136</v>
      </c>
      <c r="C27" s="207">
        <f>'PV-Felder'!$I$12</f>
        <v>739.6</v>
      </c>
      <c r="D27" s="351"/>
      <c r="E27" s="61">
        <v>0</v>
      </c>
      <c r="F27" s="351"/>
      <c r="G27" s="56">
        <f t="shared" ca="1" si="0"/>
        <v>-739.6</v>
      </c>
      <c r="H27" s="351"/>
      <c r="I27" s="61">
        <v>0</v>
      </c>
      <c r="J27" s="351"/>
      <c r="K27" s="61">
        <v>0</v>
      </c>
      <c r="L27" s="351"/>
      <c r="M27" s="65">
        <f t="shared" si="1"/>
        <v>0</v>
      </c>
      <c r="N27" s="373"/>
      <c r="O27" s="288"/>
      <c r="P27" s="288"/>
      <c r="Q27" s="286">
        <f t="shared" si="2"/>
        <v>0</v>
      </c>
      <c r="R27" s="334"/>
      <c r="S27" s="61">
        <v>0</v>
      </c>
      <c r="T27" s="376"/>
      <c r="U27" s="61">
        <v>0</v>
      </c>
      <c r="V27" s="342"/>
      <c r="W27" s="61">
        <v>0</v>
      </c>
      <c r="X27" s="342"/>
      <c r="Y27" s="211" t="e">
        <f t="shared" si="59"/>
        <v>#N/A</v>
      </c>
      <c r="Z27" s="370"/>
      <c r="AA27" s="61">
        <v>0</v>
      </c>
      <c r="AB27" s="351"/>
      <c r="AC27" s="61">
        <v>0</v>
      </c>
      <c r="AD27" s="351"/>
      <c r="AE27" s="73" t="e">
        <f t="shared" si="38"/>
        <v>#N/A</v>
      </c>
      <c r="AF27" s="356"/>
      <c r="AG27" s="73" t="e">
        <f t="shared" si="3"/>
        <v>#N/A</v>
      </c>
      <c r="AH27" s="356"/>
      <c r="AI27" s="221">
        <f>AI26</f>
        <v>29.26</v>
      </c>
      <c r="AJ27" s="78">
        <f t="shared" ref="AJ27:AM32" si="87">AJ26</f>
        <v>0.26750000000000002</v>
      </c>
      <c r="AK27" s="79">
        <f t="shared" si="87"/>
        <v>9.9166666666666661</v>
      </c>
      <c r="AL27" s="80">
        <f>AL26+50</f>
        <v>150</v>
      </c>
      <c r="AM27" s="78">
        <f t="shared" si="87"/>
        <v>0.1060123092573754</v>
      </c>
      <c r="AN27" s="80">
        <f>AN26</f>
        <v>69</v>
      </c>
      <c r="AO27" s="78">
        <f t="shared" ref="AO27:AP32" si="88">AO26</f>
        <v>0.21099999999999999</v>
      </c>
      <c r="AP27" s="88">
        <f t="shared" si="88"/>
        <v>12</v>
      </c>
      <c r="AQ27" s="64">
        <f t="shared" si="47"/>
        <v>21.5</v>
      </c>
      <c r="AR27" s="64">
        <f t="shared" si="48"/>
        <v>11.5</v>
      </c>
      <c r="AS27" s="88">
        <f t="shared" si="50"/>
        <v>1.1830000000000001</v>
      </c>
      <c r="AT27" s="91">
        <f t="shared" ref="AT27:AT90" si="89">AT26</f>
        <v>283</v>
      </c>
      <c r="AU27" s="94"/>
      <c r="AV27" s="95"/>
      <c r="AW27" s="56">
        <f t="shared" si="4"/>
        <v>0</v>
      </c>
      <c r="AX27" s="351"/>
      <c r="AY27" s="100">
        <f t="shared" si="52"/>
        <v>9.9166666666666661</v>
      </c>
      <c r="AZ27" s="360"/>
      <c r="BA27" s="91">
        <f t="shared" ref="BA27:BA37" si="90">BA26-AY27</f>
        <v>-183.11254700000001</v>
      </c>
      <c r="BB27" s="5">
        <f t="shared" si="5"/>
        <v>-9.9166666666666661</v>
      </c>
      <c r="BC27" s="363"/>
      <c r="BD27" s="91">
        <f t="shared" ca="1" si="6"/>
        <v>9.9166666666666661</v>
      </c>
      <c r="BE27" s="91">
        <f t="shared" ca="1" si="7"/>
        <v>292.91666666666669</v>
      </c>
      <c r="BF27" s="91">
        <f t="shared" si="8"/>
        <v>31.833333333333329</v>
      </c>
      <c r="BG27" s="91">
        <f t="shared" ca="1" si="9"/>
        <v>21.916666666666664</v>
      </c>
      <c r="BH27" s="91">
        <f t="shared" ca="1" si="61"/>
        <v>-261.08333333333337</v>
      </c>
      <c r="BI27" s="10">
        <f t="shared" ca="1" si="40"/>
        <v>292.91666666666669</v>
      </c>
      <c r="BJ27" s="104">
        <f>((M27+Q27)*AJ27+AK27)+((U27-W27+W27/('Vergleich Holz Strom'!$B$8-0.6))*AO27+AP27)</f>
        <v>21.916666666666664</v>
      </c>
      <c r="BK27" s="10">
        <f t="shared" ca="1" si="11"/>
        <v>-271</v>
      </c>
      <c r="BL27" s="379"/>
      <c r="BM27" s="104">
        <f t="shared" ca="1" si="27"/>
        <v>-5525.1125469999997</v>
      </c>
      <c r="BN27" s="40">
        <f ca="1">IF(ISNUMBER(BK27),BN26+SUMIF(BK26:BK37,"&lt;&gt;#NV",BK26:BK37)/COUNTIF(BK26:BK37,"&lt;&gt;#NV"),#N/A)</f>
        <v>-5525.1125469999988</v>
      </c>
      <c r="BO27" s="10">
        <f t="shared" ca="1" si="62"/>
        <v>12</v>
      </c>
      <c r="BP27" s="104">
        <f t="shared" ca="1" si="29"/>
        <v>-62370.302546999999</v>
      </c>
      <c r="BQ27" s="104">
        <f t="shared" ca="1" si="85"/>
        <v>-62370.302546999999</v>
      </c>
      <c r="BR27" s="10">
        <f t="shared" si="12"/>
        <v>9.9166666666666661</v>
      </c>
      <c r="BS27" s="311"/>
      <c r="BT27" s="307"/>
      <c r="BU27" s="295">
        <f t="shared" si="13"/>
        <v>0</v>
      </c>
      <c r="BV27" s="323"/>
      <c r="BW27" s="299">
        <f t="shared" si="14"/>
        <v>0</v>
      </c>
      <c r="BX27" s="295">
        <f t="shared" si="15"/>
        <v>0</v>
      </c>
      <c r="BY27" s="382"/>
      <c r="BZ27" s="299">
        <f t="shared" si="30"/>
        <v>0</v>
      </c>
      <c r="CA27" s="295">
        <f t="shared" si="42"/>
        <v>0</v>
      </c>
      <c r="CB27" s="323"/>
      <c r="CC27" s="314">
        <f>Q27/AQ27*100+BS27/AQ27*100</f>
        <v>0</v>
      </c>
      <c r="CD27" s="326"/>
      <c r="CE27" s="299">
        <f t="shared" si="17"/>
        <v>0</v>
      </c>
      <c r="CF27" s="284">
        <f>CE27-CA27</f>
        <v>0</v>
      </c>
      <c r="CG27" s="323"/>
      <c r="CH27" s="302">
        <f t="shared" si="58"/>
        <v>0</v>
      </c>
      <c r="CI27" s="108">
        <f t="shared" si="19"/>
        <v>0</v>
      </c>
      <c r="CJ27" s="200">
        <f t="shared" si="20"/>
        <v>0</v>
      </c>
      <c r="CK27" s="197">
        <f t="shared" si="51"/>
        <v>0</v>
      </c>
      <c r="CL27" s="203">
        <f t="shared" si="21"/>
        <v>12</v>
      </c>
      <c r="CM27" s="4">
        <f>U27*Jahresdaten!$AD$2</f>
        <v>0</v>
      </c>
      <c r="CN27" s="112">
        <f>CJ27*Jahresdaten!$AD$2</f>
        <v>0</v>
      </c>
      <c r="CO27" s="366"/>
      <c r="CP27" s="116">
        <f>U27*Jahresdaten!$AD$3</f>
        <v>0</v>
      </c>
      <c r="CQ27" s="12">
        <f>CJ27*Jahresdaten!$AD$3</f>
        <v>0</v>
      </c>
      <c r="CR27" s="353"/>
      <c r="CS27" s="14"/>
      <c r="CT27" s="136"/>
      <c r="CU27" s="140" t="str">
        <f>IF(CT27=0,"",CT27*'Vergleich Holz Strom'!$B$2)</f>
        <v/>
      </c>
      <c r="CV27" s="353">
        <f>SUM(CJ26:CJ37)</f>
        <v>0</v>
      </c>
      <c r="CW27" s="366"/>
      <c r="CX27" s="345"/>
      <c r="CY27" s="345"/>
      <c r="CZ27" s="345"/>
      <c r="DA27" s="348"/>
      <c r="DB27" s="94"/>
      <c r="DC27" s="88">
        <f t="shared" si="53"/>
        <v>2570.6780000000003</v>
      </c>
      <c r="DD27" s="94"/>
      <c r="DE27" s="88">
        <f t="shared" si="56"/>
        <v>-1435.1125469999999</v>
      </c>
      <c r="DF27" s="100">
        <f ca="1">BE27+(SUM(CS26:CS37)/12)</f>
        <v>390.33333333333337</v>
      </c>
      <c r="DG27" s="351"/>
      <c r="DH27" s="8">
        <f t="shared" ref="DH27:DH37" si="91">DH26+M27+S27+U27</f>
        <v>0</v>
      </c>
      <c r="DI27" s="123">
        <f t="shared" si="86"/>
        <v>3550</v>
      </c>
      <c r="DJ27" s="2">
        <f t="shared" ref="DJ27:DJ37" si="92">DJ26+M27</f>
        <v>0</v>
      </c>
      <c r="DK27" s="127">
        <f>DK37/12*2</f>
        <v>1300</v>
      </c>
      <c r="DL27" s="2">
        <f t="shared" ref="DL27:DL37" si="93">DL26</f>
        <v>650</v>
      </c>
      <c r="DM27" s="130">
        <f t="shared" ref="DM27:DM37" si="94">DM26+S27</f>
        <v>0</v>
      </c>
      <c r="DN27" s="3">
        <f>DN37/12*2</f>
        <v>500</v>
      </c>
      <c r="DO27" s="130">
        <f t="shared" ref="DO27:DO37" si="95">DO26</f>
        <v>250</v>
      </c>
      <c r="DP27" s="4">
        <f t="shared" ref="DP27:DP37" si="96">DP26+U27</f>
        <v>0</v>
      </c>
      <c r="DQ27" s="116">
        <f t="shared" ref="DQ27:DQ36" si="97">DQ26+DR27</f>
        <v>1750</v>
      </c>
      <c r="DR27" s="116">
        <f>DR15</f>
        <v>800</v>
      </c>
    </row>
    <row r="28" spans="1:122" ht="14.25" customHeight="1" thickBot="1" x14ac:dyDescent="0.2">
      <c r="A28" s="416"/>
      <c r="B28" s="16">
        <v>44166</v>
      </c>
      <c r="C28" s="207">
        <f>'PV-Felder'!$I$13</f>
        <v>559.9</v>
      </c>
      <c r="D28" s="351"/>
      <c r="E28" s="61">
        <v>0</v>
      </c>
      <c r="F28" s="351"/>
      <c r="G28" s="56">
        <f t="shared" ca="1" si="0"/>
        <v>-559.9</v>
      </c>
      <c r="H28" s="351"/>
      <c r="I28" s="61">
        <v>0</v>
      </c>
      <c r="J28" s="351"/>
      <c r="K28" s="61">
        <v>0</v>
      </c>
      <c r="L28" s="351"/>
      <c r="M28" s="65">
        <f t="shared" si="1"/>
        <v>0</v>
      </c>
      <c r="N28" s="373"/>
      <c r="O28" s="288"/>
      <c r="P28" s="288"/>
      <c r="Q28" s="286">
        <f t="shared" si="2"/>
        <v>0</v>
      </c>
      <c r="R28" s="334"/>
      <c r="S28" s="61">
        <v>0</v>
      </c>
      <c r="T28" s="376"/>
      <c r="U28" s="61">
        <v>0</v>
      </c>
      <c r="V28" s="342"/>
      <c r="W28" s="61">
        <v>0</v>
      </c>
      <c r="X28" s="342"/>
      <c r="Y28" s="211" t="e">
        <f t="shared" si="59"/>
        <v>#N/A</v>
      </c>
      <c r="Z28" s="370"/>
      <c r="AA28" s="61">
        <v>0</v>
      </c>
      <c r="AB28" s="351"/>
      <c r="AC28" s="61">
        <v>0</v>
      </c>
      <c r="AD28" s="351"/>
      <c r="AE28" s="73" t="e">
        <f t="shared" si="38"/>
        <v>#N/A</v>
      </c>
      <c r="AF28" s="356"/>
      <c r="AG28" s="73" t="e">
        <f t="shared" si="3"/>
        <v>#N/A</v>
      </c>
      <c r="AH28" s="356"/>
      <c r="AI28" s="221">
        <f t="shared" ref="AI28:AI36" si="98">AI27</f>
        <v>29.26</v>
      </c>
      <c r="AJ28" s="78">
        <f t="shared" si="87"/>
        <v>0.26750000000000002</v>
      </c>
      <c r="AK28" s="79">
        <f t="shared" si="87"/>
        <v>9.9166666666666661</v>
      </c>
      <c r="AL28" s="80">
        <f t="shared" si="87"/>
        <v>150</v>
      </c>
      <c r="AM28" s="78">
        <f t="shared" si="87"/>
        <v>0.1060123092573754</v>
      </c>
      <c r="AN28" s="80">
        <f>AN27-50</f>
        <v>19</v>
      </c>
      <c r="AO28" s="78">
        <f t="shared" si="88"/>
        <v>0.21099999999999999</v>
      </c>
      <c r="AP28" s="88">
        <f t="shared" si="88"/>
        <v>12</v>
      </c>
      <c r="AQ28" s="64">
        <f t="shared" si="47"/>
        <v>21.5</v>
      </c>
      <c r="AR28" s="64">
        <f t="shared" si="48"/>
        <v>11.5</v>
      </c>
      <c r="AS28" s="88">
        <f t="shared" si="50"/>
        <v>1.1830000000000001</v>
      </c>
      <c r="AT28" s="91">
        <f t="shared" si="89"/>
        <v>283</v>
      </c>
      <c r="AU28" s="94"/>
      <c r="AV28" s="95"/>
      <c r="AW28" s="56">
        <f t="shared" si="4"/>
        <v>0</v>
      </c>
      <c r="AX28" s="351"/>
      <c r="AY28" s="100">
        <f t="shared" si="52"/>
        <v>9.9166666666666661</v>
      </c>
      <c r="AZ28" s="360"/>
      <c r="BA28" s="91">
        <f t="shared" si="90"/>
        <v>-193.02921366666666</v>
      </c>
      <c r="BB28" s="5">
        <f t="shared" si="5"/>
        <v>-9.9166666666666661</v>
      </c>
      <c r="BC28" s="363"/>
      <c r="BD28" s="91">
        <f t="shared" ca="1" si="6"/>
        <v>9.9166666666666661</v>
      </c>
      <c r="BE28" s="91">
        <f t="shared" ca="1" si="7"/>
        <v>292.91666666666669</v>
      </c>
      <c r="BF28" s="91">
        <f t="shared" si="8"/>
        <v>31.833333333333329</v>
      </c>
      <c r="BG28" s="91">
        <f t="shared" ca="1" si="9"/>
        <v>21.916666666666664</v>
      </c>
      <c r="BH28" s="91">
        <f t="shared" ca="1" si="61"/>
        <v>-261.08333333333337</v>
      </c>
      <c r="BI28" s="10">
        <f t="shared" ca="1" si="40"/>
        <v>292.91666666666669</v>
      </c>
      <c r="BJ28" s="104">
        <f>((M28+Q28)*AJ28+AK28)+((U28-W28+W28/('Vergleich Holz Strom'!$B$8-0.6))*AO28+AP28)</f>
        <v>21.916666666666664</v>
      </c>
      <c r="BK28" s="10">
        <f t="shared" ca="1" si="11"/>
        <v>-271</v>
      </c>
      <c r="BL28" s="379"/>
      <c r="BM28" s="104">
        <f t="shared" ca="1" si="27"/>
        <v>-5796.1125469999997</v>
      </c>
      <c r="BN28" s="40">
        <f ca="1">IF(ISNUMBER(BK28),BN27+SUMIF(BK26:BK37,"&lt;&gt;#NV",BK26:BK37)/COUNTIF(BK26:BK37,"&lt;&gt;#NV"),#N/A)</f>
        <v>-5796.1125469999988</v>
      </c>
      <c r="BO28" s="10">
        <f t="shared" ca="1" si="62"/>
        <v>12</v>
      </c>
      <c r="BP28" s="104">
        <f t="shared" ca="1" si="29"/>
        <v>-62358.302546999999</v>
      </c>
      <c r="BQ28" s="104">
        <f t="shared" ca="1" si="85"/>
        <v>-62358.302546999999</v>
      </c>
      <c r="BR28" s="10">
        <f t="shared" si="12"/>
        <v>9.9166666666666661</v>
      </c>
      <c r="BS28" s="311"/>
      <c r="BT28" s="307"/>
      <c r="BU28" s="295">
        <f t="shared" si="13"/>
        <v>0</v>
      </c>
      <c r="BV28" s="323"/>
      <c r="BW28" s="299">
        <f t="shared" si="14"/>
        <v>0</v>
      </c>
      <c r="BX28" s="295">
        <f t="shared" si="15"/>
        <v>0</v>
      </c>
      <c r="BY28" s="382"/>
      <c r="BZ28" s="299">
        <f t="shared" si="30"/>
        <v>0</v>
      </c>
      <c r="CA28" s="295">
        <f t="shared" si="42"/>
        <v>0</v>
      </c>
      <c r="CB28" s="323"/>
      <c r="CC28" s="314">
        <f t="shared" si="76"/>
        <v>0</v>
      </c>
      <c r="CD28" s="326"/>
      <c r="CE28" s="299">
        <f t="shared" si="17"/>
        <v>0</v>
      </c>
      <c r="CF28" s="284">
        <f t="shared" si="77"/>
        <v>0</v>
      </c>
      <c r="CG28" s="323"/>
      <c r="CH28" s="302">
        <f t="shared" si="58"/>
        <v>0</v>
      </c>
      <c r="CI28" s="108">
        <f t="shared" si="19"/>
        <v>0</v>
      </c>
      <c r="CJ28" s="200">
        <f t="shared" si="20"/>
        <v>0</v>
      </c>
      <c r="CK28" s="197">
        <f t="shared" si="51"/>
        <v>0</v>
      </c>
      <c r="CL28" s="203">
        <f t="shared" si="21"/>
        <v>12</v>
      </c>
      <c r="CM28" s="4">
        <f>U28*Jahresdaten!$AD$2</f>
        <v>0</v>
      </c>
      <c r="CN28" s="112">
        <f>CJ28*Jahresdaten!$AD$2</f>
        <v>0</v>
      </c>
      <c r="CO28" s="366"/>
      <c r="CP28" s="116">
        <f>U28*Jahresdaten!$AD$3</f>
        <v>0</v>
      </c>
      <c r="CQ28" s="12">
        <f>CJ28*Jahresdaten!$AD$3</f>
        <v>0</v>
      </c>
      <c r="CR28" s="353"/>
      <c r="CS28" s="14"/>
      <c r="CT28" s="136"/>
      <c r="CU28" s="140" t="str">
        <f>IF(CT28=0,"",CT28*'Vergleich Holz Strom'!$B$2)</f>
        <v/>
      </c>
      <c r="CV28" s="353"/>
      <c r="CW28" s="366"/>
      <c r="CX28" s="345"/>
      <c r="CY28" s="345"/>
      <c r="CZ28" s="345"/>
      <c r="DA28" s="348"/>
      <c r="DB28" s="94"/>
      <c r="DC28" s="88">
        <f t="shared" si="53"/>
        <v>2710.7613333333338</v>
      </c>
      <c r="DD28" s="94"/>
      <c r="DE28" s="88">
        <f t="shared" si="56"/>
        <v>-1454.1125469999999</v>
      </c>
      <c r="DF28" s="100">
        <f ca="1">BE28+(SUM(CS26:CS37)/12)</f>
        <v>390.33333333333337</v>
      </c>
      <c r="DG28" s="351"/>
      <c r="DH28" s="8">
        <f t="shared" si="91"/>
        <v>0</v>
      </c>
      <c r="DI28" s="123">
        <f t="shared" si="86"/>
        <v>5300</v>
      </c>
      <c r="DJ28" s="2">
        <f t="shared" si="92"/>
        <v>0</v>
      </c>
      <c r="DK28" s="127">
        <f>DK37/12*3</f>
        <v>1950</v>
      </c>
      <c r="DL28" s="2">
        <f t="shared" si="93"/>
        <v>650</v>
      </c>
      <c r="DM28" s="130">
        <f t="shared" si="94"/>
        <v>0</v>
      </c>
      <c r="DN28" s="3">
        <f>DN37/12*3</f>
        <v>750</v>
      </c>
      <c r="DO28" s="130">
        <f t="shared" si="95"/>
        <v>250</v>
      </c>
      <c r="DP28" s="4">
        <f t="shared" si="96"/>
        <v>0</v>
      </c>
      <c r="DQ28" s="116">
        <f t="shared" si="97"/>
        <v>2600</v>
      </c>
      <c r="DR28" s="116">
        <f t="shared" ref="DR28:DR36" si="99">DR16</f>
        <v>850.00000000000011</v>
      </c>
    </row>
    <row r="29" spans="1:122" ht="14.25" customHeight="1" thickBot="1" x14ac:dyDescent="0.2">
      <c r="A29" s="416"/>
      <c r="B29" s="16">
        <v>44197</v>
      </c>
      <c r="C29" s="207">
        <f>'PV-Felder'!$I$2</f>
        <v>660.80000000000007</v>
      </c>
      <c r="D29" s="351"/>
      <c r="E29" s="61">
        <v>0</v>
      </c>
      <c r="F29" s="351"/>
      <c r="G29" s="56">
        <f t="shared" ca="1" si="0"/>
        <v>-660.80000000000007</v>
      </c>
      <c r="H29" s="351"/>
      <c r="I29" s="61">
        <v>0</v>
      </c>
      <c r="J29" s="351"/>
      <c r="K29" s="61">
        <v>0</v>
      </c>
      <c r="L29" s="351"/>
      <c r="M29" s="65">
        <f t="shared" si="1"/>
        <v>0</v>
      </c>
      <c r="N29" s="373"/>
      <c r="O29" s="288"/>
      <c r="P29" s="288"/>
      <c r="Q29" s="286">
        <f t="shared" si="2"/>
        <v>0</v>
      </c>
      <c r="R29" s="334"/>
      <c r="S29" s="61">
        <v>0</v>
      </c>
      <c r="T29" s="376"/>
      <c r="U29" s="61">
        <v>0</v>
      </c>
      <c r="V29" s="342"/>
      <c r="W29" s="61">
        <v>0</v>
      </c>
      <c r="X29" s="342"/>
      <c r="Y29" s="211" t="e">
        <f t="shared" si="59"/>
        <v>#N/A</v>
      </c>
      <c r="Z29" s="370"/>
      <c r="AA29" s="61">
        <v>0</v>
      </c>
      <c r="AB29" s="351"/>
      <c r="AC29" s="61">
        <v>0</v>
      </c>
      <c r="AD29" s="351"/>
      <c r="AE29" s="73" t="e">
        <f t="shared" si="38"/>
        <v>#N/A</v>
      </c>
      <c r="AF29" s="356"/>
      <c r="AG29" s="73" t="e">
        <f t="shared" si="3"/>
        <v>#N/A</v>
      </c>
      <c r="AH29" s="356"/>
      <c r="AI29" s="221">
        <f t="shared" si="98"/>
        <v>29.26</v>
      </c>
      <c r="AJ29" s="78">
        <f t="shared" si="87"/>
        <v>0.26750000000000002</v>
      </c>
      <c r="AK29" s="79">
        <f t="shared" si="87"/>
        <v>9.9166666666666661</v>
      </c>
      <c r="AL29" s="80">
        <f t="shared" si="87"/>
        <v>150</v>
      </c>
      <c r="AM29" s="78">
        <f t="shared" si="87"/>
        <v>0.1060123092573754</v>
      </c>
      <c r="AN29" s="80">
        <f>AN28+74</f>
        <v>93</v>
      </c>
      <c r="AO29" s="78">
        <f t="shared" si="88"/>
        <v>0.21099999999999999</v>
      </c>
      <c r="AP29" s="88">
        <f t="shared" si="88"/>
        <v>12</v>
      </c>
      <c r="AQ29" s="64">
        <f t="shared" si="47"/>
        <v>21.5</v>
      </c>
      <c r="AR29" s="64">
        <f t="shared" si="48"/>
        <v>11.5</v>
      </c>
      <c r="AS29" s="88">
        <f t="shared" si="50"/>
        <v>1.1830000000000001</v>
      </c>
      <c r="AT29" s="91">
        <f t="shared" si="89"/>
        <v>283</v>
      </c>
      <c r="AU29" s="94"/>
      <c r="AV29" s="95"/>
      <c r="AW29" s="56">
        <f t="shared" si="4"/>
        <v>0</v>
      </c>
      <c r="AX29" s="351"/>
      <c r="AY29" s="100">
        <f t="shared" si="52"/>
        <v>9.9166666666666661</v>
      </c>
      <c r="AZ29" s="360"/>
      <c r="BA29" s="91">
        <f t="shared" si="90"/>
        <v>-202.94588033333332</v>
      </c>
      <c r="BB29" s="5">
        <f t="shared" si="5"/>
        <v>-9.9166666666666661</v>
      </c>
      <c r="BC29" s="363"/>
      <c r="BD29" s="91">
        <f t="shared" ca="1" si="6"/>
        <v>9.9166666666666661</v>
      </c>
      <c r="BE29" s="91">
        <f t="shared" ca="1" si="7"/>
        <v>292.91666666666669</v>
      </c>
      <c r="BF29" s="91">
        <f t="shared" si="8"/>
        <v>31.833333333333329</v>
      </c>
      <c r="BG29" s="91">
        <f t="shared" ca="1" si="9"/>
        <v>21.916666666666664</v>
      </c>
      <c r="BH29" s="91">
        <f t="shared" ca="1" si="61"/>
        <v>-261.08333333333337</v>
      </c>
      <c r="BI29" s="10">
        <f t="shared" ca="1" si="40"/>
        <v>292.91666666666669</v>
      </c>
      <c r="BJ29" s="104">
        <f>((M29+Q29)*AJ29+AK29)+((U29-W29+W29/('Vergleich Holz Strom'!$B$8-0.6))*AO29+AP29)</f>
        <v>21.916666666666664</v>
      </c>
      <c r="BK29" s="10">
        <f t="shared" ca="1" si="11"/>
        <v>-271</v>
      </c>
      <c r="BL29" s="379"/>
      <c r="BM29" s="104">
        <f t="shared" ca="1" si="27"/>
        <v>-6067.1125469999997</v>
      </c>
      <c r="BN29" s="40">
        <f ca="1">IF(ISNUMBER(BK29),BN28+SUMIF(BK26:BK37,"&lt;&gt;#NV",BK26:BK37)/COUNTIF(BK26:BK37,"&lt;&gt;#NV"),#N/A)</f>
        <v>-6067.1125469999988</v>
      </c>
      <c r="BO29" s="10">
        <f t="shared" ca="1" si="62"/>
        <v>12</v>
      </c>
      <c r="BP29" s="104">
        <f t="shared" ca="1" si="29"/>
        <v>-62346.302546999999</v>
      </c>
      <c r="BQ29" s="104">
        <f t="shared" ca="1" si="85"/>
        <v>-62346.302546999999</v>
      </c>
      <c r="BR29" s="10">
        <f t="shared" si="12"/>
        <v>9.9166666666666661</v>
      </c>
      <c r="BS29" s="311"/>
      <c r="BT29" s="307"/>
      <c r="BU29" s="295">
        <f t="shared" si="13"/>
        <v>0</v>
      </c>
      <c r="BV29" s="323"/>
      <c r="BW29" s="299">
        <f t="shared" si="14"/>
        <v>0</v>
      </c>
      <c r="BX29" s="295">
        <f t="shared" si="15"/>
        <v>0</v>
      </c>
      <c r="BY29" s="382"/>
      <c r="BZ29" s="299">
        <f t="shared" si="30"/>
        <v>0</v>
      </c>
      <c r="CA29" s="295">
        <f t="shared" si="42"/>
        <v>0</v>
      </c>
      <c r="CB29" s="323"/>
      <c r="CC29" s="314">
        <f t="shared" si="76"/>
        <v>0</v>
      </c>
      <c r="CD29" s="326"/>
      <c r="CE29" s="299">
        <f t="shared" si="17"/>
        <v>0</v>
      </c>
      <c r="CF29" s="284">
        <f t="shared" si="77"/>
        <v>0</v>
      </c>
      <c r="CG29" s="323"/>
      <c r="CH29" s="302">
        <f t="shared" si="58"/>
        <v>0</v>
      </c>
      <c r="CI29" s="108">
        <f t="shared" si="19"/>
        <v>0</v>
      </c>
      <c r="CJ29" s="200">
        <f t="shared" si="20"/>
        <v>0</v>
      </c>
      <c r="CK29" s="197">
        <f t="shared" si="51"/>
        <v>0</v>
      </c>
      <c r="CL29" s="203">
        <f t="shared" si="21"/>
        <v>12</v>
      </c>
      <c r="CM29" s="4">
        <f>U29*Jahresdaten!$AD$2</f>
        <v>0</v>
      </c>
      <c r="CN29" s="112">
        <f>CJ29*Jahresdaten!$AD$2</f>
        <v>0</v>
      </c>
      <c r="CO29" s="366"/>
      <c r="CP29" s="116">
        <f>U29*Jahresdaten!$AD$3</f>
        <v>0</v>
      </c>
      <c r="CQ29" s="12">
        <f>CJ29*Jahresdaten!$AD$3</f>
        <v>0</v>
      </c>
      <c r="CR29" s="353"/>
      <c r="CS29" s="14"/>
      <c r="CT29" s="136"/>
      <c r="CU29" s="140" t="str">
        <f>IF(CT29=0,"",CT29*'Vergleich Holz Strom'!$B$2)</f>
        <v/>
      </c>
      <c r="CV29" s="353"/>
      <c r="CW29" s="366"/>
      <c r="CX29" s="345"/>
      <c r="CY29" s="345"/>
      <c r="CZ29" s="345"/>
      <c r="DA29" s="348"/>
      <c r="DB29" s="94"/>
      <c r="DC29" s="88">
        <f t="shared" si="53"/>
        <v>2850.8446666666673</v>
      </c>
      <c r="DD29" s="94"/>
      <c r="DE29" s="88">
        <f t="shared" si="56"/>
        <v>-1547.1125469999999</v>
      </c>
      <c r="DF29" s="100">
        <f ca="1">BE29+(SUM(CS26:CS37)/12)</f>
        <v>390.33333333333337</v>
      </c>
      <c r="DG29" s="351"/>
      <c r="DH29" s="8">
        <f t="shared" si="91"/>
        <v>0</v>
      </c>
      <c r="DI29" s="123">
        <f t="shared" si="86"/>
        <v>7350</v>
      </c>
      <c r="DJ29" s="2">
        <f t="shared" si="92"/>
        <v>0</v>
      </c>
      <c r="DK29" s="127">
        <f>DK37/12*4</f>
        <v>2600</v>
      </c>
      <c r="DL29" s="2">
        <f t="shared" si="93"/>
        <v>650</v>
      </c>
      <c r="DM29" s="130">
        <f t="shared" si="94"/>
        <v>0</v>
      </c>
      <c r="DN29" s="3">
        <f>DN37/12*4</f>
        <v>1000</v>
      </c>
      <c r="DO29" s="130">
        <f t="shared" si="95"/>
        <v>250</v>
      </c>
      <c r="DP29" s="4">
        <f t="shared" si="96"/>
        <v>0</v>
      </c>
      <c r="DQ29" s="116">
        <f t="shared" si="97"/>
        <v>3750</v>
      </c>
      <c r="DR29" s="116">
        <f t="shared" si="99"/>
        <v>1150</v>
      </c>
    </row>
    <row r="30" spans="1:122" ht="14.25" customHeight="1" thickBot="1" x14ac:dyDescent="0.2">
      <c r="A30" s="416"/>
      <c r="B30" s="16">
        <v>44228</v>
      </c>
      <c r="C30" s="207">
        <f>'PV-Felder'!$I$3</f>
        <v>922.2</v>
      </c>
      <c r="D30" s="351"/>
      <c r="E30" s="61">
        <v>0</v>
      </c>
      <c r="F30" s="351"/>
      <c r="G30" s="56" t="e">
        <f t="shared" ca="1" si="0"/>
        <v>#N/A</v>
      </c>
      <c r="H30" s="351"/>
      <c r="I30" s="61">
        <v>0</v>
      </c>
      <c r="J30" s="351"/>
      <c r="K30" s="61">
        <v>0</v>
      </c>
      <c r="L30" s="351"/>
      <c r="M30" s="65">
        <f t="shared" si="1"/>
        <v>0</v>
      </c>
      <c r="N30" s="373"/>
      <c r="O30" s="288"/>
      <c r="P30" s="288"/>
      <c r="Q30" s="286">
        <f t="shared" si="2"/>
        <v>0</v>
      </c>
      <c r="R30" s="334"/>
      <c r="S30" s="61">
        <v>0</v>
      </c>
      <c r="T30" s="376"/>
      <c r="U30" s="61">
        <v>0</v>
      </c>
      <c r="V30" s="342"/>
      <c r="W30" s="61">
        <v>0</v>
      </c>
      <c r="X30" s="342"/>
      <c r="Y30" s="211" t="e">
        <f t="shared" si="59"/>
        <v>#N/A</v>
      </c>
      <c r="Z30" s="370"/>
      <c r="AA30" s="61">
        <v>0</v>
      </c>
      <c r="AB30" s="351"/>
      <c r="AC30" s="61">
        <v>0</v>
      </c>
      <c r="AD30" s="351"/>
      <c r="AE30" s="73" t="e">
        <f t="shared" si="38"/>
        <v>#N/A</v>
      </c>
      <c r="AF30" s="356"/>
      <c r="AG30" s="73" t="e">
        <f t="shared" si="3"/>
        <v>#N/A</v>
      </c>
      <c r="AH30" s="356"/>
      <c r="AI30" s="221">
        <f t="shared" si="98"/>
        <v>29.26</v>
      </c>
      <c r="AJ30" s="78">
        <f t="shared" si="87"/>
        <v>0.26750000000000002</v>
      </c>
      <c r="AK30" s="79">
        <f t="shared" si="87"/>
        <v>9.9166666666666661</v>
      </c>
      <c r="AL30" s="80">
        <f>AL29+37</f>
        <v>187</v>
      </c>
      <c r="AM30" s="78">
        <f t="shared" si="87"/>
        <v>0.1060123092573754</v>
      </c>
      <c r="AN30" s="80">
        <f t="shared" si="55"/>
        <v>93</v>
      </c>
      <c r="AO30" s="78">
        <f t="shared" si="88"/>
        <v>0.21099999999999999</v>
      </c>
      <c r="AP30" s="88">
        <f t="shared" si="88"/>
        <v>12</v>
      </c>
      <c r="AQ30" s="64">
        <f t="shared" si="47"/>
        <v>21.5</v>
      </c>
      <c r="AR30" s="64">
        <f t="shared" si="48"/>
        <v>11.5</v>
      </c>
      <c r="AS30" s="88">
        <f t="shared" si="50"/>
        <v>1.1830000000000001</v>
      </c>
      <c r="AT30" s="91">
        <f t="shared" si="89"/>
        <v>283</v>
      </c>
      <c r="AU30" s="94"/>
      <c r="AV30" s="95"/>
      <c r="AW30" s="56">
        <f t="shared" si="4"/>
        <v>0</v>
      </c>
      <c r="AX30" s="351"/>
      <c r="AY30" s="100">
        <f t="shared" si="52"/>
        <v>9.9166666666666661</v>
      </c>
      <c r="AZ30" s="360"/>
      <c r="BA30" s="91">
        <f t="shared" si="90"/>
        <v>-212.86254699999998</v>
      </c>
      <c r="BB30" s="5">
        <f t="shared" si="5"/>
        <v>-9.9166666666666661</v>
      </c>
      <c r="BC30" s="363"/>
      <c r="BD30" s="91" t="e">
        <f t="shared" ca="1" si="6"/>
        <v>#N/A</v>
      </c>
      <c r="BE30" s="91" t="e">
        <f t="shared" ca="1" si="7"/>
        <v>#N/A</v>
      </c>
      <c r="BF30" s="91">
        <f t="shared" si="8"/>
        <v>31.833333333333329</v>
      </c>
      <c r="BG30" s="91" t="e">
        <f t="shared" ca="1" si="9"/>
        <v>#N/A</v>
      </c>
      <c r="BH30" s="91" t="e">
        <f t="shared" ca="1" si="61"/>
        <v>#N/A</v>
      </c>
      <c r="BI30" s="10" t="e">
        <f t="shared" ca="1" si="40"/>
        <v>#N/A</v>
      </c>
      <c r="BJ30" s="104">
        <f>((M30+Q30)*AJ30+AK30)+((U30-W30+W30/('Vergleich Holz Strom'!$B$8-0.6))*AO30+AP30)</f>
        <v>21.916666666666664</v>
      </c>
      <c r="BK30" s="10" t="e">
        <f t="shared" ca="1" si="11"/>
        <v>#N/A</v>
      </c>
      <c r="BL30" s="379"/>
      <c r="BM30" s="104" t="e">
        <f t="shared" ca="1" si="27"/>
        <v>#N/A</v>
      </c>
      <c r="BN30" s="40" t="e">
        <f ca="1">IF(ISNUMBER(BK30),BN29+SUMIF(BK26:BK37,"&lt;&gt;#NV",BK26:BK37)/COUNTIF(BK26:BK37,"&lt;&gt;#NV"),#N/A)</f>
        <v>#N/A</v>
      </c>
      <c r="BO30" s="10" t="e">
        <f t="shared" ca="1" si="62"/>
        <v>#N/A</v>
      </c>
      <c r="BP30" s="104" t="e">
        <f t="shared" ca="1" si="29"/>
        <v>#N/A</v>
      </c>
      <c r="BQ30" s="104">
        <f t="shared" ca="1" si="85"/>
        <v>-62327.102547000002</v>
      </c>
      <c r="BR30" s="10">
        <f t="shared" si="12"/>
        <v>9.9166666666666661</v>
      </c>
      <c r="BS30" s="311"/>
      <c r="BT30" s="307"/>
      <c r="BU30" s="295">
        <f t="shared" si="13"/>
        <v>0</v>
      </c>
      <c r="BV30" s="323"/>
      <c r="BW30" s="299">
        <f t="shared" si="14"/>
        <v>0</v>
      </c>
      <c r="BX30" s="295">
        <f t="shared" si="15"/>
        <v>0</v>
      </c>
      <c r="BY30" s="382"/>
      <c r="BZ30" s="299">
        <f t="shared" si="30"/>
        <v>0</v>
      </c>
      <c r="CA30" s="295">
        <f t="shared" si="42"/>
        <v>0</v>
      </c>
      <c r="CB30" s="323"/>
      <c r="CC30" s="314">
        <f t="shared" si="76"/>
        <v>0</v>
      </c>
      <c r="CD30" s="326"/>
      <c r="CE30" s="299">
        <f t="shared" si="17"/>
        <v>0</v>
      </c>
      <c r="CF30" s="284">
        <f t="shared" si="77"/>
        <v>0</v>
      </c>
      <c r="CG30" s="323"/>
      <c r="CH30" s="302">
        <f t="shared" si="58"/>
        <v>0</v>
      </c>
      <c r="CI30" s="108">
        <f t="shared" si="19"/>
        <v>0</v>
      </c>
      <c r="CJ30" s="200">
        <f t="shared" si="20"/>
        <v>0</v>
      </c>
      <c r="CK30" s="197">
        <f t="shared" si="51"/>
        <v>0</v>
      </c>
      <c r="CL30" s="203">
        <f t="shared" si="21"/>
        <v>12</v>
      </c>
      <c r="CM30" s="4">
        <f>U30*Jahresdaten!$AD$2</f>
        <v>0</v>
      </c>
      <c r="CN30" s="112">
        <f>CJ30*Jahresdaten!$AD$2</f>
        <v>0</v>
      </c>
      <c r="CO30" s="366"/>
      <c r="CP30" s="116">
        <f>U30*Jahresdaten!$AD$3</f>
        <v>0</v>
      </c>
      <c r="CQ30" s="12">
        <f>CJ30*Jahresdaten!$AD$3</f>
        <v>0</v>
      </c>
      <c r="CR30" s="353"/>
      <c r="CS30" s="14"/>
      <c r="CT30" s="136"/>
      <c r="CU30" s="140" t="str">
        <f>IF(CT30=0,"",CT30*'Vergleich Holz Strom'!$B$2)</f>
        <v/>
      </c>
      <c r="CV30" s="353"/>
      <c r="CW30" s="366"/>
      <c r="CX30" s="345"/>
      <c r="CY30" s="345"/>
      <c r="CZ30" s="345"/>
      <c r="DA30" s="348"/>
      <c r="DB30" s="94"/>
      <c r="DC30" s="88">
        <f t="shared" si="53"/>
        <v>3027.9280000000008</v>
      </c>
      <c r="DD30" s="94"/>
      <c r="DE30" s="88">
        <f t="shared" si="56"/>
        <v>-1640.1125469999999</v>
      </c>
      <c r="DF30" s="100" t="e">
        <f ca="1">BE30+(SUM(CS26:CS37)/12)</f>
        <v>#N/A</v>
      </c>
      <c r="DG30" s="351"/>
      <c r="DH30" s="8">
        <f t="shared" si="91"/>
        <v>0</v>
      </c>
      <c r="DI30" s="123">
        <f t="shared" si="86"/>
        <v>9600</v>
      </c>
      <c r="DJ30" s="2">
        <f t="shared" si="92"/>
        <v>0</v>
      </c>
      <c r="DK30" s="127">
        <f>DK37/12*5</f>
        <v>3250</v>
      </c>
      <c r="DL30" s="2">
        <f t="shared" si="93"/>
        <v>650</v>
      </c>
      <c r="DM30" s="130">
        <f t="shared" si="94"/>
        <v>0</v>
      </c>
      <c r="DN30" s="3">
        <f>DN37/12*5</f>
        <v>1250</v>
      </c>
      <c r="DO30" s="130">
        <f t="shared" si="95"/>
        <v>250</v>
      </c>
      <c r="DP30" s="4">
        <f t="shared" si="96"/>
        <v>0</v>
      </c>
      <c r="DQ30" s="116">
        <f t="shared" si="97"/>
        <v>5100</v>
      </c>
      <c r="DR30" s="116">
        <f t="shared" si="99"/>
        <v>1350</v>
      </c>
    </row>
    <row r="31" spans="1:122" ht="14.25" customHeight="1" thickBot="1" x14ac:dyDescent="0.2">
      <c r="A31" s="416"/>
      <c r="B31" s="16">
        <v>44256</v>
      </c>
      <c r="C31" s="207">
        <f>'PV-Felder'!$I$4</f>
        <v>1860</v>
      </c>
      <c r="D31" s="351"/>
      <c r="E31" s="61">
        <v>0</v>
      </c>
      <c r="F31" s="351"/>
      <c r="G31" s="56" t="e">
        <f t="shared" ca="1" si="0"/>
        <v>#N/A</v>
      </c>
      <c r="H31" s="351"/>
      <c r="I31" s="61">
        <v>0</v>
      </c>
      <c r="J31" s="351"/>
      <c r="K31" s="61">
        <v>0</v>
      </c>
      <c r="L31" s="351"/>
      <c r="M31" s="65">
        <f t="shared" si="1"/>
        <v>0</v>
      </c>
      <c r="N31" s="373"/>
      <c r="O31" s="288"/>
      <c r="P31" s="288"/>
      <c r="Q31" s="286">
        <f t="shared" si="2"/>
        <v>0</v>
      </c>
      <c r="R31" s="334"/>
      <c r="S31" s="61">
        <v>0</v>
      </c>
      <c r="T31" s="376"/>
      <c r="U31" s="61">
        <v>0</v>
      </c>
      <c r="V31" s="342"/>
      <c r="W31" s="61">
        <v>0</v>
      </c>
      <c r="X31" s="342"/>
      <c r="Y31" s="211" t="e">
        <f t="shared" si="59"/>
        <v>#N/A</v>
      </c>
      <c r="Z31" s="370"/>
      <c r="AA31" s="61">
        <v>0</v>
      </c>
      <c r="AB31" s="351"/>
      <c r="AC31" s="61">
        <v>0</v>
      </c>
      <c r="AD31" s="351"/>
      <c r="AE31" s="73" t="e">
        <f t="shared" si="38"/>
        <v>#N/A</v>
      </c>
      <c r="AF31" s="356"/>
      <c r="AG31" s="73" t="e">
        <f t="shared" si="3"/>
        <v>#N/A</v>
      </c>
      <c r="AH31" s="356"/>
      <c r="AI31" s="221">
        <f t="shared" si="98"/>
        <v>29.26</v>
      </c>
      <c r="AJ31" s="78">
        <f t="shared" si="87"/>
        <v>0.26750000000000002</v>
      </c>
      <c r="AK31" s="79">
        <f t="shared" si="87"/>
        <v>9.9166666666666661</v>
      </c>
      <c r="AL31" s="80">
        <f t="shared" si="87"/>
        <v>187</v>
      </c>
      <c r="AM31" s="78">
        <f>(0.1147/(9.9+5.28+4.48+9.6)*9.9)+(0.0972/(9.9+5.28+4.48+9.6)*(5.28+4.48))+(0.0797/(9.9+5.28+4.48+9.6)*9.6)</f>
        <v>9.737942583732058E-2</v>
      </c>
      <c r="AN31" s="80">
        <f t="shared" si="55"/>
        <v>93</v>
      </c>
      <c r="AO31" s="78">
        <f t="shared" si="88"/>
        <v>0.21099999999999999</v>
      </c>
      <c r="AP31" s="88">
        <f t="shared" si="88"/>
        <v>12</v>
      </c>
      <c r="AQ31" s="64">
        <f t="shared" si="47"/>
        <v>21.5</v>
      </c>
      <c r="AR31" s="64">
        <f t="shared" si="48"/>
        <v>11.5</v>
      </c>
      <c r="AS31" s="88">
        <f t="shared" si="50"/>
        <v>1.1830000000000001</v>
      </c>
      <c r="AT31" s="91">
        <f t="shared" si="89"/>
        <v>283</v>
      </c>
      <c r="AU31" s="94"/>
      <c r="AV31" s="95"/>
      <c r="AW31" s="56">
        <f t="shared" si="4"/>
        <v>0</v>
      </c>
      <c r="AX31" s="351"/>
      <c r="AY31" s="100">
        <f t="shared" si="52"/>
        <v>9.9166666666666661</v>
      </c>
      <c r="AZ31" s="360"/>
      <c r="BA31" s="91">
        <f t="shared" si="90"/>
        <v>-222.77921366666664</v>
      </c>
      <c r="BB31" s="5">
        <f t="shared" si="5"/>
        <v>-9.9166666666666661</v>
      </c>
      <c r="BC31" s="363"/>
      <c r="BD31" s="91" t="e">
        <f t="shared" ca="1" si="6"/>
        <v>#N/A</v>
      </c>
      <c r="BE31" s="91" t="e">
        <f t="shared" ca="1" si="7"/>
        <v>#N/A</v>
      </c>
      <c r="BF31" s="91">
        <f t="shared" si="8"/>
        <v>31.833333333333329</v>
      </c>
      <c r="BG31" s="91" t="e">
        <f t="shared" ca="1" si="9"/>
        <v>#N/A</v>
      </c>
      <c r="BH31" s="91" t="e">
        <f t="shared" ca="1" si="61"/>
        <v>#N/A</v>
      </c>
      <c r="BI31" s="10" t="e">
        <f t="shared" ca="1" si="40"/>
        <v>#N/A</v>
      </c>
      <c r="BJ31" s="104">
        <f>((M31+Q31)*AJ31+AK31)+((U31-W31+W31/('Vergleich Holz Strom'!$B$8-0.6))*AO31+AP31)</f>
        <v>21.916666666666664</v>
      </c>
      <c r="BK31" s="10" t="e">
        <f t="shared" ca="1" si="11"/>
        <v>#N/A</v>
      </c>
      <c r="BL31" s="379"/>
      <c r="BM31" s="104" t="e">
        <f t="shared" ca="1" si="27"/>
        <v>#N/A</v>
      </c>
      <c r="BN31" s="40" t="e">
        <f ca="1">IF(ISNUMBER(BK31),BN30+SUMIF(BK26:BK37,"&lt;&gt;#NV",BK26:BK37)/COUNTIF(BK26:BK37,"&lt;&gt;#NV"),#N/A)</f>
        <v>#N/A</v>
      </c>
      <c r="BO31" s="10" t="e">
        <f t="shared" ca="1" si="62"/>
        <v>#N/A</v>
      </c>
      <c r="BP31" s="104" t="e">
        <f t="shared" ca="1" si="29"/>
        <v>#N/A</v>
      </c>
      <c r="BQ31" s="104">
        <f t="shared" ca="1" si="85"/>
        <v>-62307.902547000005</v>
      </c>
      <c r="BR31" s="10">
        <f t="shared" si="12"/>
        <v>9.9166666666666661</v>
      </c>
      <c r="BS31" s="311"/>
      <c r="BT31" s="307"/>
      <c r="BU31" s="295">
        <f t="shared" si="13"/>
        <v>0</v>
      </c>
      <c r="BV31" s="323"/>
      <c r="BW31" s="299">
        <f t="shared" si="14"/>
        <v>0</v>
      </c>
      <c r="BX31" s="295">
        <f t="shared" si="15"/>
        <v>0</v>
      </c>
      <c r="BY31" s="382"/>
      <c r="BZ31" s="299">
        <f t="shared" si="30"/>
        <v>0</v>
      </c>
      <c r="CA31" s="295">
        <f t="shared" si="42"/>
        <v>0</v>
      </c>
      <c r="CB31" s="323"/>
      <c r="CC31" s="314">
        <f t="shared" si="76"/>
        <v>0</v>
      </c>
      <c r="CD31" s="326"/>
      <c r="CE31" s="299">
        <f t="shared" si="17"/>
        <v>0</v>
      </c>
      <c r="CF31" s="284">
        <f t="shared" si="77"/>
        <v>0</v>
      </c>
      <c r="CG31" s="323"/>
      <c r="CH31" s="302">
        <f t="shared" si="58"/>
        <v>0</v>
      </c>
      <c r="CI31" s="108">
        <f t="shared" si="19"/>
        <v>0</v>
      </c>
      <c r="CJ31" s="200">
        <f t="shared" si="20"/>
        <v>0</v>
      </c>
      <c r="CK31" s="197">
        <f t="shared" si="51"/>
        <v>0</v>
      </c>
      <c r="CL31" s="203">
        <f t="shared" si="21"/>
        <v>12</v>
      </c>
      <c r="CM31" s="4">
        <f>U31*Jahresdaten!$AD$2</f>
        <v>0</v>
      </c>
      <c r="CN31" s="112">
        <f>CJ31*Jahresdaten!$AD$2</f>
        <v>0</v>
      </c>
      <c r="CO31" s="366"/>
      <c r="CP31" s="116">
        <f>U31*Jahresdaten!$AD$3</f>
        <v>0</v>
      </c>
      <c r="CQ31" s="12">
        <f>CJ31*Jahresdaten!$AD$3</f>
        <v>0</v>
      </c>
      <c r="CR31" s="353"/>
      <c r="CS31" s="14"/>
      <c r="CT31" s="136"/>
      <c r="CU31" s="140" t="str">
        <f>IF(CT31=0,"",CT31*'Vergleich Holz Strom'!$B$2)</f>
        <v/>
      </c>
      <c r="CV31" s="353"/>
      <c r="CW31" s="366"/>
      <c r="CX31" s="345"/>
      <c r="CY31" s="345"/>
      <c r="CZ31" s="345"/>
      <c r="DA31" s="348"/>
      <c r="DB31" s="94"/>
      <c r="DC31" s="88">
        <f t="shared" si="53"/>
        <v>3205.0113333333343</v>
      </c>
      <c r="DD31" s="94"/>
      <c r="DE31" s="88">
        <f t="shared" si="56"/>
        <v>-1733.1125469999999</v>
      </c>
      <c r="DF31" s="100" t="e">
        <f ca="1">BE31+(SUM(CS26:CS37)/12)</f>
        <v>#N/A</v>
      </c>
      <c r="DG31" s="351"/>
      <c r="DH31" s="8">
        <f t="shared" si="91"/>
        <v>0</v>
      </c>
      <c r="DI31" s="123">
        <f t="shared" si="86"/>
        <v>11850</v>
      </c>
      <c r="DJ31" s="2">
        <f t="shared" si="92"/>
        <v>0</v>
      </c>
      <c r="DK31" s="127">
        <f>DK37/12*6</f>
        <v>3900</v>
      </c>
      <c r="DL31" s="2">
        <f t="shared" si="93"/>
        <v>650</v>
      </c>
      <c r="DM31" s="130">
        <f t="shared" si="94"/>
        <v>0</v>
      </c>
      <c r="DN31" s="3">
        <f>DN37/12*6</f>
        <v>1500</v>
      </c>
      <c r="DO31" s="130">
        <f t="shared" si="95"/>
        <v>250</v>
      </c>
      <c r="DP31" s="4">
        <f t="shared" si="96"/>
        <v>0</v>
      </c>
      <c r="DQ31" s="116">
        <f t="shared" si="97"/>
        <v>6450</v>
      </c>
      <c r="DR31" s="116">
        <f t="shared" si="99"/>
        <v>1350</v>
      </c>
    </row>
    <row r="32" spans="1:122" ht="15" customHeight="1" thickBot="1" x14ac:dyDescent="0.2">
      <c r="A32" s="416"/>
      <c r="B32" s="16">
        <v>44287</v>
      </c>
      <c r="C32" s="207">
        <f>'PV-Felder'!$I$5</f>
        <v>2887.3</v>
      </c>
      <c r="D32" s="351"/>
      <c r="E32" s="61">
        <v>0</v>
      </c>
      <c r="F32" s="351"/>
      <c r="G32" s="56" t="e">
        <f t="shared" ca="1" si="0"/>
        <v>#N/A</v>
      </c>
      <c r="H32" s="351"/>
      <c r="I32" s="61">
        <v>0</v>
      </c>
      <c r="J32" s="351"/>
      <c r="K32" s="61">
        <v>0</v>
      </c>
      <c r="L32" s="351"/>
      <c r="M32" s="65">
        <f t="shared" si="1"/>
        <v>0</v>
      </c>
      <c r="N32" s="373"/>
      <c r="O32" s="288"/>
      <c r="P32" s="288"/>
      <c r="Q32" s="286">
        <f t="shared" si="2"/>
        <v>0</v>
      </c>
      <c r="R32" s="334"/>
      <c r="S32" s="61">
        <v>0</v>
      </c>
      <c r="T32" s="376"/>
      <c r="U32" s="61">
        <v>0</v>
      </c>
      <c r="V32" s="342"/>
      <c r="W32" s="61">
        <v>0</v>
      </c>
      <c r="X32" s="342"/>
      <c r="Y32" s="211" t="e">
        <f t="shared" si="59"/>
        <v>#N/A</v>
      </c>
      <c r="Z32" s="370"/>
      <c r="AA32" s="61">
        <v>0</v>
      </c>
      <c r="AB32" s="351"/>
      <c r="AC32" s="61">
        <v>0</v>
      </c>
      <c r="AD32" s="351"/>
      <c r="AE32" s="73" t="e">
        <f t="shared" si="38"/>
        <v>#N/A</v>
      </c>
      <c r="AF32" s="356"/>
      <c r="AG32" s="73" t="e">
        <f t="shared" si="3"/>
        <v>#N/A</v>
      </c>
      <c r="AH32" s="356"/>
      <c r="AI32" s="221">
        <f t="shared" si="98"/>
        <v>29.26</v>
      </c>
      <c r="AJ32" s="78">
        <f t="shared" si="87"/>
        <v>0.26750000000000002</v>
      </c>
      <c r="AK32" s="79">
        <f t="shared" si="87"/>
        <v>9.9166666666666661</v>
      </c>
      <c r="AL32" s="80">
        <f t="shared" si="87"/>
        <v>187</v>
      </c>
      <c r="AM32" s="78">
        <f>AM31</f>
        <v>9.737942583732058E-2</v>
      </c>
      <c r="AN32" s="80">
        <f t="shared" si="55"/>
        <v>93</v>
      </c>
      <c r="AO32" s="78">
        <f t="shared" si="88"/>
        <v>0.21099999999999999</v>
      </c>
      <c r="AP32" s="88">
        <f t="shared" si="88"/>
        <v>12</v>
      </c>
      <c r="AQ32" s="64">
        <f t="shared" si="47"/>
        <v>21.5</v>
      </c>
      <c r="AR32" s="64">
        <f t="shared" si="48"/>
        <v>11.5</v>
      </c>
      <c r="AS32" s="88">
        <f t="shared" si="50"/>
        <v>1.1830000000000001</v>
      </c>
      <c r="AT32" s="91">
        <f t="shared" si="89"/>
        <v>283</v>
      </c>
      <c r="AU32" s="94"/>
      <c r="AV32" s="95"/>
      <c r="AW32" s="56">
        <f t="shared" si="4"/>
        <v>0</v>
      </c>
      <c r="AX32" s="351"/>
      <c r="AY32" s="100">
        <f t="shared" si="52"/>
        <v>9.9166666666666661</v>
      </c>
      <c r="AZ32" s="360"/>
      <c r="BA32" s="91">
        <f t="shared" si="90"/>
        <v>-232.69588033333329</v>
      </c>
      <c r="BB32" s="5">
        <f t="shared" si="5"/>
        <v>-9.9166666666666661</v>
      </c>
      <c r="BC32" s="363"/>
      <c r="BD32" s="91" t="e">
        <f t="shared" ca="1" si="6"/>
        <v>#N/A</v>
      </c>
      <c r="BE32" s="91" t="e">
        <f t="shared" ca="1" si="7"/>
        <v>#N/A</v>
      </c>
      <c r="BF32" s="91">
        <f t="shared" si="8"/>
        <v>31.833333333333329</v>
      </c>
      <c r="BG32" s="91" t="e">
        <f t="shared" ca="1" si="9"/>
        <v>#N/A</v>
      </c>
      <c r="BH32" s="91" t="e">
        <f t="shared" ca="1" si="61"/>
        <v>#N/A</v>
      </c>
      <c r="BI32" s="10" t="e">
        <f t="shared" ca="1" si="40"/>
        <v>#N/A</v>
      </c>
      <c r="BJ32" s="104">
        <f>((M32+Q32)*AJ32+AK32)+((U32-W32+W32/('Vergleich Holz Strom'!$B$8-0.6))*AO32+AP32)</f>
        <v>21.916666666666664</v>
      </c>
      <c r="BK32" s="10" t="e">
        <f t="shared" ca="1" si="11"/>
        <v>#N/A</v>
      </c>
      <c r="BL32" s="379"/>
      <c r="BM32" s="104" t="e">
        <f t="shared" ca="1" si="27"/>
        <v>#N/A</v>
      </c>
      <c r="BN32" s="40" t="e">
        <f ca="1">IF(ISNUMBER(BK32),BN31+SUMIF(BK26:BK37,"&lt;&gt;#NV",BK26:BK37)/COUNTIF(BK26:BK37,"&lt;&gt;#NV"),#N/A)</f>
        <v>#N/A</v>
      </c>
      <c r="BO32" s="10" t="e">
        <f t="shared" ca="1" si="62"/>
        <v>#N/A</v>
      </c>
      <c r="BP32" s="104" t="e">
        <f t="shared" ca="1" si="29"/>
        <v>#N/A</v>
      </c>
      <c r="BQ32" s="104">
        <f ca="1">IF(B33&lt;=TODAY(),BP32,IF(E32=0,BQ31+(BQ20)*1.6-BQ19*1.6,BP32))</f>
        <v>-62288.702546999979</v>
      </c>
      <c r="BR32" s="10">
        <f t="shared" si="12"/>
        <v>9.9166666666666661</v>
      </c>
      <c r="BS32" s="311"/>
      <c r="BT32" s="307"/>
      <c r="BU32" s="295">
        <f t="shared" si="13"/>
        <v>0</v>
      </c>
      <c r="BV32" s="323"/>
      <c r="BW32" s="299">
        <f t="shared" si="14"/>
        <v>0</v>
      </c>
      <c r="BX32" s="295">
        <f t="shared" si="15"/>
        <v>0</v>
      </c>
      <c r="BY32" s="382"/>
      <c r="BZ32" s="299">
        <f t="shared" si="30"/>
        <v>0</v>
      </c>
      <c r="CA32" s="295">
        <f t="shared" si="42"/>
        <v>0</v>
      </c>
      <c r="CB32" s="323"/>
      <c r="CC32" s="314">
        <f t="shared" si="76"/>
        <v>0</v>
      </c>
      <c r="CD32" s="326"/>
      <c r="CE32" s="299">
        <f t="shared" si="17"/>
        <v>0</v>
      </c>
      <c r="CF32" s="284">
        <f t="shared" si="77"/>
        <v>0</v>
      </c>
      <c r="CG32" s="323"/>
      <c r="CH32" s="302">
        <f t="shared" si="58"/>
        <v>0</v>
      </c>
      <c r="CI32" s="108">
        <f t="shared" si="19"/>
        <v>0</v>
      </c>
      <c r="CJ32" s="200">
        <f t="shared" si="20"/>
        <v>0</v>
      </c>
      <c r="CK32" s="197">
        <f t="shared" si="51"/>
        <v>0</v>
      </c>
      <c r="CL32" s="203">
        <f t="shared" si="21"/>
        <v>12</v>
      </c>
      <c r="CM32" s="4">
        <f>U32*Jahresdaten!$AD$2</f>
        <v>0</v>
      </c>
      <c r="CN32" s="112">
        <f>CJ32*Jahresdaten!$AD$2</f>
        <v>0</v>
      </c>
      <c r="CO32" s="366"/>
      <c r="CP32" s="116">
        <f>U32*Jahresdaten!$AD$3</f>
        <v>0</v>
      </c>
      <c r="CQ32" s="12">
        <f>CJ32*Jahresdaten!$AD$3</f>
        <v>0</v>
      </c>
      <c r="CR32" s="353"/>
      <c r="CS32" s="14"/>
      <c r="CT32" s="136"/>
      <c r="CU32" s="140" t="str">
        <f>IF(CT32=0,"",CT32*'Vergleich Holz Strom'!$B$2)</f>
        <v/>
      </c>
      <c r="CV32" s="121" t="s">
        <v>6</v>
      </c>
      <c r="CW32" s="366"/>
      <c r="CX32" s="345"/>
      <c r="CY32" s="345"/>
      <c r="CZ32" s="345"/>
      <c r="DA32" s="348"/>
      <c r="DB32" s="94"/>
      <c r="DC32" s="88">
        <f t="shared" si="53"/>
        <v>3382.0946666666678</v>
      </c>
      <c r="DD32" s="94"/>
      <c r="DE32" s="88">
        <f t="shared" si="56"/>
        <v>-1826.1125469999999</v>
      </c>
      <c r="DF32" s="100" t="e">
        <f ca="1">BE32+(SUM(CS26:CS37)/12)</f>
        <v>#N/A</v>
      </c>
      <c r="DG32" s="351"/>
      <c r="DH32" s="8">
        <f t="shared" si="91"/>
        <v>0</v>
      </c>
      <c r="DI32" s="123">
        <f t="shared" si="86"/>
        <v>14000</v>
      </c>
      <c r="DJ32" s="2">
        <f t="shared" si="92"/>
        <v>0</v>
      </c>
      <c r="DK32" s="127">
        <f>DK37/12*7</f>
        <v>4550</v>
      </c>
      <c r="DL32" s="2">
        <f t="shared" si="93"/>
        <v>650</v>
      </c>
      <c r="DM32" s="130">
        <f t="shared" si="94"/>
        <v>0</v>
      </c>
      <c r="DN32" s="3">
        <f>DN37/12*7</f>
        <v>1750</v>
      </c>
      <c r="DO32" s="130">
        <f t="shared" si="95"/>
        <v>250</v>
      </c>
      <c r="DP32" s="4">
        <f t="shared" si="96"/>
        <v>0</v>
      </c>
      <c r="DQ32" s="116">
        <f t="shared" si="97"/>
        <v>7700</v>
      </c>
      <c r="DR32" s="116">
        <f t="shared" si="99"/>
        <v>1250</v>
      </c>
    </row>
    <row r="33" spans="1:122" ht="14.25" customHeight="1" thickBot="1" x14ac:dyDescent="0.2">
      <c r="A33" s="416"/>
      <c r="B33" s="16">
        <v>44317</v>
      </c>
      <c r="C33" s="207">
        <f>'PV-Felder'!$I$6</f>
        <v>3391.3999999999996</v>
      </c>
      <c r="D33" s="351"/>
      <c r="E33" s="61">
        <v>0</v>
      </c>
      <c r="F33" s="351"/>
      <c r="G33" s="56" t="e">
        <f t="shared" ca="1" si="0"/>
        <v>#N/A</v>
      </c>
      <c r="H33" s="351"/>
      <c r="I33" s="61">
        <v>0</v>
      </c>
      <c r="J33" s="351"/>
      <c r="K33" s="61">
        <v>0</v>
      </c>
      <c r="L33" s="351"/>
      <c r="M33" s="65">
        <f t="shared" si="1"/>
        <v>0</v>
      </c>
      <c r="N33" s="373"/>
      <c r="O33" s="288"/>
      <c r="P33" s="288"/>
      <c r="Q33" s="286">
        <f t="shared" si="2"/>
        <v>0</v>
      </c>
      <c r="R33" s="334"/>
      <c r="S33" s="61">
        <v>0</v>
      </c>
      <c r="T33" s="376"/>
      <c r="U33" s="61">
        <v>0</v>
      </c>
      <c r="V33" s="342"/>
      <c r="W33" s="61">
        <v>0</v>
      </c>
      <c r="X33" s="342"/>
      <c r="Y33" s="211" t="e">
        <f t="shared" si="59"/>
        <v>#N/A</v>
      </c>
      <c r="Z33" s="370"/>
      <c r="AA33" s="61">
        <v>0</v>
      </c>
      <c r="AB33" s="351"/>
      <c r="AC33" s="61">
        <v>0</v>
      </c>
      <c r="AD33" s="351"/>
      <c r="AE33" s="73" t="e">
        <f t="shared" si="38"/>
        <v>#N/A</v>
      </c>
      <c r="AF33" s="356"/>
      <c r="AG33" s="73" t="e">
        <f t="shared" si="3"/>
        <v>#N/A</v>
      </c>
      <c r="AH33" s="356"/>
      <c r="AI33" s="221">
        <f t="shared" si="98"/>
        <v>29.26</v>
      </c>
      <c r="AJ33" s="78">
        <f t="shared" ref="AJ33:AP33" si="100">AJ32</f>
        <v>0.26750000000000002</v>
      </c>
      <c r="AK33" s="79">
        <f t="shared" si="100"/>
        <v>9.9166666666666661</v>
      </c>
      <c r="AL33" s="80">
        <f t="shared" si="100"/>
        <v>187</v>
      </c>
      <c r="AM33" s="78">
        <f t="shared" si="100"/>
        <v>9.737942583732058E-2</v>
      </c>
      <c r="AN33" s="80">
        <f>AN32+50</f>
        <v>143</v>
      </c>
      <c r="AO33" s="78">
        <f t="shared" si="100"/>
        <v>0.21099999999999999</v>
      </c>
      <c r="AP33" s="88">
        <f t="shared" si="100"/>
        <v>12</v>
      </c>
      <c r="AQ33" s="64">
        <f t="shared" si="47"/>
        <v>21.5</v>
      </c>
      <c r="AR33" s="64">
        <f t="shared" si="48"/>
        <v>11.5</v>
      </c>
      <c r="AS33" s="88">
        <f t="shared" si="50"/>
        <v>1.1830000000000001</v>
      </c>
      <c r="AT33" s="91">
        <f t="shared" si="89"/>
        <v>283</v>
      </c>
      <c r="AU33" s="94"/>
      <c r="AV33" s="95"/>
      <c r="AW33" s="56">
        <f t="shared" si="4"/>
        <v>0</v>
      </c>
      <c r="AX33" s="351"/>
      <c r="AY33" s="100">
        <f t="shared" si="52"/>
        <v>9.9166666666666661</v>
      </c>
      <c r="AZ33" s="360"/>
      <c r="BA33" s="91">
        <f t="shared" si="90"/>
        <v>-242.61254699999995</v>
      </c>
      <c r="BB33" s="5">
        <f t="shared" si="5"/>
        <v>-9.9166666666666661</v>
      </c>
      <c r="BC33" s="363"/>
      <c r="BD33" s="91" t="e">
        <f t="shared" ca="1" si="6"/>
        <v>#N/A</v>
      </c>
      <c r="BE33" s="91" t="e">
        <f t="shared" ca="1" si="7"/>
        <v>#N/A</v>
      </c>
      <c r="BF33" s="91">
        <f t="shared" si="8"/>
        <v>31.833333333333329</v>
      </c>
      <c r="BG33" s="91" t="e">
        <f t="shared" ca="1" si="9"/>
        <v>#N/A</v>
      </c>
      <c r="BH33" s="91" t="e">
        <f t="shared" ca="1" si="61"/>
        <v>#N/A</v>
      </c>
      <c r="BI33" s="10" t="e">
        <f t="shared" ca="1" si="40"/>
        <v>#N/A</v>
      </c>
      <c r="BJ33" s="104">
        <f>((M33+Q33)*AJ33+AK33)+((U33-W33+W33/('Vergleich Holz Strom'!$B$8-0.6))*AO33+AP33)</f>
        <v>21.916666666666664</v>
      </c>
      <c r="BK33" s="10" t="e">
        <f t="shared" ca="1" si="11"/>
        <v>#N/A</v>
      </c>
      <c r="BL33" s="379"/>
      <c r="BM33" s="104" t="e">
        <f t="shared" ca="1" si="27"/>
        <v>#N/A</v>
      </c>
      <c r="BN33" s="40" t="e">
        <f ca="1">IF(ISNUMBER(BK33),BN32+SUMIF(BK26:BK37,"&lt;&gt;#NV",BK26:BK37)/COUNTIF(BK26:BK37,"&lt;&gt;#NV"),#N/A)</f>
        <v>#N/A</v>
      </c>
      <c r="BO33" s="10" t="e">
        <f t="shared" ca="1" si="62"/>
        <v>#N/A</v>
      </c>
      <c r="BP33" s="104" t="e">
        <f t="shared" ca="1" si="29"/>
        <v>#N/A</v>
      </c>
      <c r="BQ33" s="104">
        <f ca="1">IF(B34&lt;=TODAY(),BP33,IF(E33=0,BQ32+(BQ21+17195.55)*1.6-BQ20*1.6,BP33))</f>
        <v>-62269.502546999967</v>
      </c>
      <c r="BR33" s="10">
        <f t="shared" si="12"/>
        <v>9.9166666666666661</v>
      </c>
      <c r="BS33" s="311"/>
      <c r="BT33" s="307"/>
      <c r="BU33" s="295">
        <f t="shared" si="13"/>
        <v>0</v>
      </c>
      <c r="BV33" s="323"/>
      <c r="BW33" s="299">
        <f t="shared" si="14"/>
        <v>0</v>
      </c>
      <c r="BX33" s="295">
        <f t="shared" si="15"/>
        <v>0</v>
      </c>
      <c r="BY33" s="382"/>
      <c r="BZ33" s="299">
        <f t="shared" si="30"/>
        <v>0</v>
      </c>
      <c r="CA33" s="295">
        <f t="shared" si="42"/>
        <v>0</v>
      </c>
      <c r="CB33" s="323"/>
      <c r="CC33" s="314">
        <f t="shared" si="76"/>
        <v>0</v>
      </c>
      <c r="CD33" s="326"/>
      <c r="CE33" s="299">
        <f t="shared" si="17"/>
        <v>0</v>
      </c>
      <c r="CF33" s="284">
        <f t="shared" si="77"/>
        <v>0</v>
      </c>
      <c r="CG33" s="323"/>
      <c r="CH33" s="302">
        <f t="shared" si="58"/>
        <v>0</v>
      </c>
      <c r="CI33" s="108">
        <f t="shared" si="19"/>
        <v>0</v>
      </c>
      <c r="CJ33" s="200">
        <f t="shared" si="20"/>
        <v>0</v>
      </c>
      <c r="CK33" s="197">
        <f t="shared" si="51"/>
        <v>0</v>
      </c>
      <c r="CL33" s="203">
        <f t="shared" si="21"/>
        <v>12</v>
      </c>
      <c r="CM33" s="4">
        <f>U33*Jahresdaten!$AD$2</f>
        <v>0</v>
      </c>
      <c r="CN33" s="112">
        <f>CJ33*Jahresdaten!$AD$2</f>
        <v>0</v>
      </c>
      <c r="CO33" s="366"/>
      <c r="CP33" s="116">
        <f>U33*Jahresdaten!$AD$3</f>
        <v>0</v>
      </c>
      <c r="CQ33" s="12">
        <f>CJ33*Jahresdaten!$AD$3</f>
        <v>0</v>
      </c>
      <c r="CR33" s="353"/>
      <c r="CS33" s="14"/>
      <c r="CT33" s="136"/>
      <c r="CU33" s="140" t="str">
        <f>IF(CT33=0,"",CT33*'Vergleich Holz Strom'!$B$2)</f>
        <v/>
      </c>
      <c r="CV33" s="353">
        <f>SUM(CS26:CS37)</f>
        <v>1169</v>
      </c>
      <c r="CW33" s="366"/>
      <c r="CX33" s="345"/>
      <c r="CY33" s="345"/>
      <c r="CZ33" s="345"/>
      <c r="DA33" s="348"/>
      <c r="DB33" s="94"/>
      <c r="DC33" s="88">
        <f t="shared" si="53"/>
        <v>3559.1780000000012</v>
      </c>
      <c r="DD33" s="94"/>
      <c r="DE33" s="88">
        <f t="shared" si="56"/>
        <v>-1969.1125469999999</v>
      </c>
      <c r="DF33" s="100" t="e">
        <f ca="1">BE33+(SUM(CS26:CS37)/12)</f>
        <v>#N/A</v>
      </c>
      <c r="DG33" s="351"/>
      <c r="DH33" s="8">
        <f t="shared" si="91"/>
        <v>0</v>
      </c>
      <c r="DI33" s="123">
        <f t="shared" si="86"/>
        <v>16000</v>
      </c>
      <c r="DJ33" s="2">
        <f t="shared" si="92"/>
        <v>0</v>
      </c>
      <c r="DK33" s="127">
        <f>DK37/12*8</f>
        <v>5200</v>
      </c>
      <c r="DL33" s="2">
        <f t="shared" si="93"/>
        <v>650</v>
      </c>
      <c r="DM33" s="130">
        <f t="shared" si="94"/>
        <v>0</v>
      </c>
      <c r="DN33" s="3">
        <f>DN37/12*8</f>
        <v>2000</v>
      </c>
      <c r="DO33" s="130">
        <f t="shared" si="95"/>
        <v>250</v>
      </c>
      <c r="DP33" s="4">
        <f t="shared" si="96"/>
        <v>0</v>
      </c>
      <c r="DQ33" s="116">
        <f t="shared" si="97"/>
        <v>8800</v>
      </c>
      <c r="DR33" s="116">
        <f t="shared" si="99"/>
        <v>1100</v>
      </c>
    </row>
    <row r="34" spans="1:122" ht="14.25" customHeight="1" thickBot="1" x14ac:dyDescent="0.2">
      <c r="A34" s="416"/>
      <c r="B34" s="16">
        <v>44348</v>
      </c>
      <c r="C34" s="207">
        <f>'PV-Felder'!$I$7</f>
        <v>3595.6000000000004</v>
      </c>
      <c r="D34" s="351"/>
      <c r="E34" s="61">
        <v>0</v>
      </c>
      <c r="F34" s="351"/>
      <c r="G34" s="56" t="e">
        <f t="shared" ca="1" si="0"/>
        <v>#N/A</v>
      </c>
      <c r="H34" s="351"/>
      <c r="I34" s="61">
        <v>0</v>
      </c>
      <c r="J34" s="351"/>
      <c r="K34" s="61">
        <v>0</v>
      </c>
      <c r="L34" s="351"/>
      <c r="M34" s="65">
        <f t="shared" si="1"/>
        <v>0</v>
      </c>
      <c r="N34" s="373"/>
      <c r="O34" s="288"/>
      <c r="P34" s="288"/>
      <c r="Q34" s="286">
        <f t="shared" si="2"/>
        <v>0</v>
      </c>
      <c r="R34" s="334"/>
      <c r="S34" s="61">
        <v>0</v>
      </c>
      <c r="T34" s="376"/>
      <c r="U34" s="61">
        <v>0</v>
      </c>
      <c r="V34" s="342"/>
      <c r="W34" s="61">
        <v>0</v>
      </c>
      <c r="X34" s="342"/>
      <c r="Y34" s="211" t="e">
        <f t="shared" si="59"/>
        <v>#N/A</v>
      </c>
      <c r="Z34" s="370"/>
      <c r="AA34" s="61">
        <v>0</v>
      </c>
      <c r="AB34" s="351"/>
      <c r="AC34" s="61">
        <v>0</v>
      </c>
      <c r="AD34" s="351"/>
      <c r="AE34" s="73" t="e">
        <f t="shared" si="38"/>
        <v>#N/A</v>
      </c>
      <c r="AF34" s="356"/>
      <c r="AG34" s="73" t="e">
        <f t="shared" si="3"/>
        <v>#N/A</v>
      </c>
      <c r="AH34" s="356"/>
      <c r="AI34" s="221">
        <f t="shared" si="98"/>
        <v>29.26</v>
      </c>
      <c r="AJ34" s="78">
        <f t="shared" ref="AJ34:AP34" si="101">AJ33</f>
        <v>0.26750000000000002</v>
      </c>
      <c r="AK34" s="79">
        <f t="shared" si="101"/>
        <v>9.9166666666666661</v>
      </c>
      <c r="AL34" s="80">
        <f t="shared" si="101"/>
        <v>187</v>
      </c>
      <c r="AM34" s="78">
        <f t="shared" si="101"/>
        <v>9.737942583732058E-2</v>
      </c>
      <c r="AN34" s="80">
        <f t="shared" si="55"/>
        <v>143</v>
      </c>
      <c r="AO34" s="78">
        <f t="shared" si="101"/>
        <v>0.21099999999999999</v>
      </c>
      <c r="AP34" s="88">
        <f t="shared" si="101"/>
        <v>12</v>
      </c>
      <c r="AQ34" s="64">
        <f t="shared" si="47"/>
        <v>21.5</v>
      </c>
      <c r="AR34" s="64">
        <f t="shared" si="48"/>
        <v>11.5</v>
      </c>
      <c r="AS34" s="88">
        <f t="shared" si="50"/>
        <v>1.1830000000000001</v>
      </c>
      <c r="AT34" s="91">
        <f t="shared" si="89"/>
        <v>283</v>
      </c>
      <c r="AU34" s="94"/>
      <c r="AV34" s="95"/>
      <c r="AW34" s="56">
        <f t="shared" si="4"/>
        <v>0</v>
      </c>
      <c r="AX34" s="351"/>
      <c r="AY34" s="100">
        <f t="shared" si="52"/>
        <v>9.9166666666666661</v>
      </c>
      <c r="AZ34" s="360"/>
      <c r="BA34" s="91">
        <f t="shared" si="90"/>
        <v>-252.52921366666661</v>
      </c>
      <c r="BB34" s="5">
        <f t="shared" si="5"/>
        <v>-9.9166666666666661</v>
      </c>
      <c r="BC34" s="363"/>
      <c r="BD34" s="91" t="e">
        <f t="shared" ca="1" si="6"/>
        <v>#N/A</v>
      </c>
      <c r="BE34" s="91" t="e">
        <f t="shared" ca="1" si="7"/>
        <v>#N/A</v>
      </c>
      <c r="BF34" s="91">
        <f t="shared" si="8"/>
        <v>31.833333333333329</v>
      </c>
      <c r="BG34" s="91" t="e">
        <f t="shared" ca="1" si="9"/>
        <v>#N/A</v>
      </c>
      <c r="BH34" s="91" t="e">
        <f t="shared" ca="1" si="61"/>
        <v>#N/A</v>
      </c>
      <c r="BI34" s="10" t="e">
        <f t="shared" ca="1" si="40"/>
        <v>#N/A</v>
      </c>
      <c r="BJ34" s="104">
        <f>((M34+Q34)*AJ34+AK34)+((U34-W34+W34/('Vergleich Holz Strom'!$B$8-0.6))*AO34+AP34)</f>
        <v>21.916666666666664</v>
      </c>
      <c r="BK34" s="10" t="e">
        <f t="shared" ca="1" si="11"/>
        <v>#N/A</v>
      </c>
      <c r="BL34" s="379"/>
      <c r="BM34" s="104" t="e">
        <f t="shared" ca="1" si="27"/>
        <v>#N/A</v>
      </c>
      <c r="BN34" s="40" t="e">
        <f ca="1">IF(ISNUMBER(BK34),BN33+SUMIF(BK26:BK37,"&lt;&gt;#NV",BK26:BK37)/COUNTIF(BK26:BK37,"&lt;&gt;#NV"),#N/A)</f>
        <v>#N/A</v>
      </c>
      <c r="BO34" s="10" t="e">
        <f t="shared" ca="1" si="62"/>
        <v>#N/A</v>
      </c>
      <c r="BP34" s="104" t="e">
        <f t="shared" ca="1" si="29"/>
        <v>#N/A</v>
      </c>
      <c r="BQ34" s="104">
        <f ca="1">IF(B35&lt;=TODAY(),BP34,IF(E34=0,BQ33+BQ22*1.6-BQ21*1.6,BP34))</f>
        <v>-62250.30254699997</v>
      </c>
      <c r="BR34" s="10">
        <f t="shared" si="12"/>
        <v>9.9166666666666661</v>
      </c>
      <c r="BS34" s="311"/>
      <c r="BT34" s="307"/>
      <c r="BU34" s="295">
        <f t="shared" si="13"/>
        <v>0</v>
      </c>
      <c r="BV34" s="323"/>
      <c r="BW34" s="299">
        <f t="shared" si="14"/>
        <v>0</v>
      </c>
      <c r="BX34" s="295">
        <f t="shared" si="15"/>
        <v>0</v>
      </c>
      <c r="BY34" s="382"/>
      <c r="BZ34" s="299">
        <f t="shared" si="30"/>
        <v>0</v>
      </c>
      <c r="CA34" s="295">
        <f t="shared" si="42"/>
        <v>0</v>
      </c>
      <c r="CB34" s="323"/>
      <c r="CC34" s="314">
        <f t="shared" si="76"/>
        <v>0</v>
      </c>
      <c r="CD34" s="326"/>
      <c r="CE34" s="299">
        <f t="shared" si="17"/>
        <v>0</v>
      </c>
      <c r="CF34" s="284">
        <f t="shared" si="77"/>
        <v>0</v>
      </c>
      <c r="CG34" s="323"/>
      <c r="CH34" s="302">
        <f t="shared" si="58"/>
        <v>0</v>
      </c>
      <c r="CI34" s="108">
        <f t="shared" si="19"/>
        <v>0</v>
      </c>
      <c r="CJ34" s="200">
        <f t="shared" si="20"/>
        <v>0</v>
      </c>
      <c r="CK34" s="197">
        <f t="shared" si="51"/>
        <v>0</v>
      </c>
      <c r="CL34" s="203">
        <f t="shared" si="21"/>
        <v>12</v>
      </c>
      <c r="CM34" s="4">
        <f>U34*Jahresdaten!$AD$2</f>
        <v>0</v>
      </c>
      <c r="CN34" s="112">
        <f>CJ34*Jahresdaten!$AD$2</f>
        <v>0</v>
      </c>
      <c r="CO34" s="366"/>
      <c r="CP34" s="116">
        <f>U34*Jahresdaten!$AD$3</f>
        <v>0</v>
      </c>
      <c r="CQ34" s="12">
        <f>CJ34*Jahresdaten!$AD$3</f>
        <v>0</v>
      </c>
      <c r="CR34" s="353"/>
      <c r="CS34" s="14"/>
      <c r="CT34" s="136"/>
      <c r="CU34" s="140" t="str">
        <f>IF(CT34=0,"",CT34*'Vergleich Holz Strom'!$B$2)</f>
        <v/>
      </c>
      <c r="CV34" s="353"/>
      <c r="CW34" s="366"/>
      <c r="CX34" s="345"/>
      <c r="CY34" s="345"/>
      <c r="CZ34" s="345"/>
      <c r="DA34" s="348"/>
      <c r="DB34" s="94"/>
      <c r="DC34" s="88">
        <f t="shared" si="53"/>
        <v>3736.2613333333347</v>
      </c>
      <c r="DD34" s="94"/>
      <c r="DE34" s="88">
        <f t="shared" si="56"/>
        <v>-2112.1125469999997</v>
      </c>
      <c r="DF34" s="100" t="e">
        <f ca="1">BE34+(SUM(CS26:CS37)/12)</f>
        <v>#N/A</v>
      </c>
      <c r="DG34" s="351"/>
      <c r="DH34" s="8">
        <f t="shared" si="91"/>
        <v>0</v>
      </c>
      <c r="DI34" s="123">
        <f t="shared" si="86"/>
        <v>17200</v>
      </c>
      <c r="DJ34" s="2">
        <f t="shared" si="92"/>
        <v>0</v>
      </c>
      <c r="DK34" s="127">
        <f>DK37/12*9</f>
        <v>5850</v>
      </c>
      <c r="DL34" s="2">
        <f t="shared" si="93"/>
        <v>650</v>
      </c>
      <c r="DM34" s="130">
        <f t="shared" si="94"/>
        <v>0</v>
      </c>
      <c r="DN34" s="3">
        <f>DN37/12*9</f>
        <v>2250</v>
      </c>
      <c r="DO34" s="130">
        <f t="shared" si="95"/>
        <v>250</v>
      </c>
      <c r="DP34" s="4">
        <f t="shared" si="96"/>
        <v>0</v>
      </c>
      <c r="DQ34" s="116">
        <f t="shared" si="97"/>
        <v>9100</v>
      </c>
      <c r="DR34" s="116">
        <f t="shared" si="99"/>
        <v>300</v>
      </c>
    </row>
    <row r="35" spans="1:122" ht="14.25" customHeight="1" thickBot="1" x14ac:dyDescent="0.2">
      <c r="A35" s="416"/>
      <c r="B35" s="16">
        <v>44378</v>
      </c>
      <c r="C35" s="207">
        <f>'PV-Felder'!$I$8</f>
        <v>3593.8</v>
      </c>
      <c r="D35" s="351"/>
      <c r="E35" s="61">
        <v>0</v>
      </c>
      <c r="F35" s="351"/>
      <c r="G35" s="56" t="e">
        <f t="shared" ca="1" si="0"/>
        <v>#N/A</v>
      </c>
      <c r="H35" s="351"/>
      <c r="I35" s="61">
        <v>0</v>
      </c>
      <c r="J35" s="351"/>
      <c r="K35" s="61">
        <v>0</v>
      </c>
      <c r="L35" s="351"/>
      <c r="M35" s="65">
        <f t="shared" si="1"/>
        <v>0</v>
      </c>
      <c r="N35" s="373"/>
      <c r="O35" s="288"/>
      <c r="P35" s="288"/>
      <c r="Q35" s="286">
        <f t="shared" si="2"/>
        <v>0</v>
      </c>
      <c r="R35" s="334"/>
      <c r="S35" s="61">
        <v>0</v>
      </c>
      <c r="T35" s="376"/>
      <c r="U35" s="61">
        <v>0</v>
      </c>
      <c r="V35" s="342"/>
      <c r="W35" s="61">
        <v>0</v>
      </c>
      <c r="X35" s="342"/>
      <c r="Y35" s="211" t="e">
        <f t="shared" si="59"/>
        <v>#N/A</v>
      </c>
      <c r="Z35" s="370"/>
      <c r="AA35" s="61">
        <v>0</v>
      </c>
      <c r="AB35" s="351"/>
      <c r="AC35" s="61">
        <v>0</v>
      </c>
      <c r="AD35" s="351"/>
      <c r="AE35" s="73" t="e">
        <f t="shared" si="38"/>
        <v>#N/A</v>
      </c>
      <c r="AF35" s="356"/>
      <c r="AG35" s="73" t="e">
        <f t="shared" si="3"/>
        <v>#N/A</v>
      </c>
      <c r="AH35" s="356"/>
      <c r="AI35" s="221">
        <f t="shared" si="98"/>
        <v>29.26</v>
      </c>
      <c r="AJ35" s="78">
        <f t="shared" ref="AJ35:AP35" si="102">AJ34</f>
        <v>0.26750000000000002</v>
      </c>
      <c r="AK35" s="79">
        <f t="shared" si="102"/>
        <v>9.9166666666666661</v>
      </c>
      <c r="AL35" s="80">
        <f t="shared" si="102"/>
        <v>187</v>
      </c>
      <c r="AM35" s="78">
        <f t="shared" si="102"/>
        <v>9.737942583732058E-2</v>
      </c>
      <c r="AN35" s="80">
        <f t="shared" si="55"/>
        <v>143</v>
      </c>
      <c r="AO35" s="78">
        <f t="shared" si="102"/>
        <v>0.21099999999999999</v>
      </c>
      <c r="AP35" s="88">
        <f t="shared" si="102"/>
        <v>12</v>
      </c>
      <c r="AQ35" s="64">
        <f t="shared" si="47"/>
        <v>21.5</v>
      </c>
      <c r="AR35" s="64">
        <f t="shared" si="48"/>
        <v>11.5</v>
      </c>
      <c r="AS35" s="88">
        <f t="shared" si="50"/>
        <v>1.1830000000000001</v>
      </c>
      <c r="AT35" s="91">
        <f t="shared" si="89"/>
        <v>283</v>
      </c>
      <c r="AU35" s="94"/>
      <c r="AV35" s="95"/>
      <c r="AW35" s="56">
        <f t="shared" si="4"/>
        <v>0</v>
      </c>
      <c r="AX35" s="351"/>
      <c r="AY35" s="100">
        <f t="shared" si="52"/>
        <v>9.9166666666666661</v>
      </c>
      <c r="AZ35" s="360"/>
      <c r="BA35" s="91">
        <f t="shared" si="90"/>
        <v>-262.44588033333326</v>
      </c>
      <c r="BB35" s="5">
        <f t="shared" si="5"/>
        <v>-9.9166666666666661</v>
      </c>
      <c r="BC35" s="363"/>
      <c r="BD35" s="91" t="e">
        <f t="shared" ca="1" si="6"/>
        <v>#N/A</v>
      </c>
      <c r="BE35" s="91" t="e">
        <f t="shared" ca="1" si="7"/>
        <v>#N/A</v>
      </c>
      <c r="BF35" s="91">
        <f t="shared" si="8"/>
        <v>31.833333333333329</v>
      </c>
      <c r="BG35" s="91" t="e">
        <f t="shared" ca="1" si="9"/>
        <v>#N/A</v>
      </c>
      <c r="BH35" s="91" t="e">
        <f t="shared" ca="1" si="61"/>
        <v>#N/A</v>
      </c>
      <c r="BI35" s="10" t="e">
        <f t="shared" ca="1" si="40"/>
        <v>#N/A</v>
      </c>
      <c r="BJ35" s="104">
        <f>((M35+Q35)*AJ35+AK35)+((U35-W35+W35/('Vergleich Holz Strom'!$B$8-0.6))*AO35+AP35)</f>
        <v>21.916666666666664</v>
      </c>
      <c r="BK35" s="10" t="e">
        <f t="shared" ca="1" si="11"/>
        <v>#N/A</v>
      </c>
      <c r="BL35" s="379"/>
      <c r="BM35" s="104" t="e">
        <f t="shared" ca="1" si="27"/>
        <v>#N/A</v>
      </c>
      <c r="BN35" s="40" t="e">
        <f ca="1">IF(ISNUMBER(BK35),BN34+SUMIF(BK26:BK37,"&lt;&gt;#NV",BK26:BK37)/COUNTIF(BK26:BK37,"&lt;&gt;#NV"),#N/A)</f>
        <v>#N/A</v>
      </c>
      <c r="BO35" s="10" t="e">
        <f ca="1">BK35+AT35+AU35</f>
        <v>#N/A</v>
      </c>
      <c r="BP35" s="104" t="e">
        <f t="shared" ca="1" si="29"/>
        <v>#N/A</v>
      </c>
      <c r="BQ35" s="104">
        <f ca="1">IF(B36&lt;=TODAY(),BP35,IF(E35=0,BQ34+BQ23*1.6-BQ22*1.6,BP35))</f>
        <v>-62231.102546999973</v>
      </c>
      <c r="BR35" s="10">
        <f t="shared" si="12"/>
        <v>9.9166666666666661</v>
      </c>
      <c r="BS35" s="311"/>
      <c r="BT35" s="307"/>
      <c r="BU35" s="295">
        <f t="shared" si="13"/>
        <v>0</v>
      </c>
      <c r="BV35" s="323"/>
      <c r="BW35" s="299">
        <f t="shared" si="14"/>
        <v>0</v>
      </c>
      <c r="BX35" s="295">
        <f t="shared" si="15"/>
        <v>0</v>
      </c>
      <c r="BY35" s="382"/>
      <c r="BZ35" s="299">
        <f t="shared" si="30"/>
        <v>0</v>
      </c>
      <c r="CA35" s="295">
        <f t="shared" si="42"/>
        <v>0</v>
      </c>
      <c r="CB35" s="323"/>
      <c r="CC35" s="314">
        <f t="shared" si="76"/>
        <v>0</v>
      </c>
      <c r="CD35" s="326"/>
      <c r="CE35" s="299">
        <f t="shared" si="17"/>
        <v>0</v>
      </c>
      <c r="CF35" s="284">
        <f t="shared" si="77"/>
        <v>0</v>
      </c>
      <c r="CG35" s="323"/>
      <c r="CH35" s="302">
        <f t="shared" si="58"/>
        <v>0</v>
      </c>
      <c r="CI35" s="108">
        <f t="shared" si="19"/>
        <v>0</v>
      </c>
      <c r="CJ35" s="200">
        <f t="shared" si="20"/>
        <v>0</v>
      </c>
      <c r="CK35" s="197">
        <f t="shared" si="51"/>
        <v>0</v>
      </c>
      <c r="CL35" s="203">
        <f t="shared" si="21"/>
        <v>12</v>
      </c>
      <c r="CM35" s="4">
        <f>U35*Jahresdaten!$AD$2</f>
        <v>0</v>
      </c>
      <c r="CN35" s="112">
        <f>CJ35*Jahresdaten!$AD$2</f>
        <v>0</v>
      </c>
      <c r="CO35" s="366"/>
      <c r="CP35" s="116">
        <f>U35*Jahresdaten!$AD$3</f>
        <v>0</v>
      </c>
      <c r="CQ35" s="12">
        <f>CJ35*Jahresdaten!$AD$3</f>
        <v>0</v>
      </c>
      <c r="CR35" s="353"/>
      <c r="CS35" s="14"/>
      <c r="CT35" s="136"/>
      <c r="CU35" s="140" t="str">
        <f>IF(CT35=0,"",CT35*'Vergleich Holz Strom'!$B$2)</f>
        <v/>
      </c>
      <c r="CV35" s="353"/>
      <c r="CW35" s="366"/>
      <c r="CX35" s="345"/>
      <c r="CY35" s="345"/>
      <c r="CZ35" s="345"/>
      <c r="DA35" s="348"/>
      <c r="DB35" s="94"/>
      <c r="DC35" s="88">
        <f t="shared" si="53"/>
        <v>3913.3446666666682</v>
      </c>
      <c r="DD35" s="94"/>
      <c r="DE35" s="88">
        <f t="shared" si="56"/>
        <v>-2255.1125469999997</v>
      </c>
      <c r="DF35" s="100" t="e">
        <f ca="1">BE35+(SUM(CS26:CS37)/12)</f>
        <v>#N/A</v>
      </c>
      <c r="DG35" s="351"/>
      <c r="DH35" s="8">
        <f t="shared" si="91"/>
        <v>0</v>
      </c>
      <c r="DI35" s="123">
        <f t="shared" si="86"/>
        <v>18250</v>
      </c>
      <c r="DJ35" s="2">
        <f t="shared" si="92"/>
        <v>0</v>
      </c>
      <c r="DK35" s="127">
        <f>DK37/12*10</f>
        <v>6500</v>
      </c>
      <c r="DL35" s="2">
        <f t="shared" si="93"/>
        <v>650</v>
      </c>
      <c r="DM35" s="130">
        <f t="shared" si="94"/>
        <v>0</v>
      </c>
      <c r="DN35" s="3">
        <f>DN37/12*10</f>
        <v>2500</v>
      </c>
      <c r="DO35" s="130">
        <f t="shared" si="95"/>
        <v>250</v>
      </c>
      <c r="DP35" s="4">
        <f t="shared" si="96"/>
        <v>0</v>
      </c>
      <c r="DQ35" s="116">
        <f t="shared" si="97"/>
        <v>9250</v>
      </c>
      <c r="DR35" s="116">
        <f t="shared" si="99"/>
        <v>150</v>
      </c>
    </row>
    <row r="36" spans="1:122" ht="14.25" customHeight="1" thickBot="1" x14ac:dyDescent="0.2">
      <c r="A36" s="416"/>
      <c r="B36" s="16">
        <v>44409</v>
      </c>
      <c r="C36" s="207">
        <f>'PV-Felder'!$I$9</f>
        <v>3065.7</v>
      </c>
      <c r="D36" s="351"/>
      <c r="E36" s="61">
        <v>0</v>
      </c>
      <c r="F36" s="351"/>
      <c r="G36" s="56" t="e">
        <f t="shared" ca="1" si="0"/>
        <v>#N/A</v>
      </c>
      <c r="H36" s="351"/>
      <c r="I36" s="61">
        <v>0</v>
      </c>
      <c r="J36" s="351"/>
      <c r="K36" s="61">
        <v>0</v>
      </c>
      <c r="L36" s="351"/>
      <c r="M36" s="65">
        <f t="shared" si="1"/>
        <v>0</v>
      </c>
      <c r="N36" s="373"/>
      <c r="O36" s="288"/>
      <c r="P36" s="288"/>
      <c r="Q36" s="286">
        <f t="shared" si="2"/>
        <v>0</v>
      </c>
      <c r="R36" s="334"/>
      <c r="S36" s="61">
        <v>0</v>
      </c>
      <c r="T36" s="376"/>
      <c r="U36" s="61">
        <v>0</v>
      </c>
      <c r="V36" s="342"/>
      <c r="W36" s="61">
        <v>0</v>
      </c>
      <c r="X36" s="342"/>
      <c r="Y36" s="211" t="e">
        <f t="shared" si="59"/>
        <v>#N/A</v>
      </c>
      <c r="Z36" s="370"/>
      <c r="AA36" s="61">
        <v>0</v>
      </c>
      <c r="AB36" s="351"/>
      <c r="AC36" s="61">
        <v>0</v>
      </c>
      <c r="AD36" s="351"/>
      <c r="AE36" s="73" t="e">
        <f t="shared" si="38"/>
        <v>#N/A</v>
      </c>
      <c r="AF36" s="356"/>
      <c r="AG36" s="73" t="e">
        <f t="shared" si="3"/>
        <v>#N/A</v>
      </c>
      <c r="AH36" s="356"/>
      <c r="AI36" s="221">
        <f t="shared" si="98"/>
        <v>29.26</v>
      </c>
      <c r="AJ36" s="78">
        <f t="shared" ref="AJ36:AP36" si="103">AJ35</f>
        <v>0.26750000000000002</v>
      </c>
      <c r="AK36" s="79">
        <f t="shared" si="103"/>
        <v>9.9166666666666661</v>
      </c>
      <c r="AL36" s="80">
        <f t="shared" si="103"/>
        <v>187</v>
      </c>
      <c r="AM36" s="78">
        <f t="shared" si="103"/>
        <v>9.737942583732058E-2</v>
      </c>
      <c r="AN36" s="80">
        <f t="shared" si="55"/>
        <v>143</v>
      </c>
      <c r="AO36" s="78">
        <f t="shared" si="103"/>
        <v>0.21099999999999999</v>
      </c>
      <c r="AP36" s="88">
        <f t="shared" si="103"/>
        <v>12</v>
      </c>
      <c r="AQ36" s="64">
        <f t="shared" si="47"/>
        <v>21.5</v>
      </c>
      <c r="AR36" s="64">
        <f t="shared" si="48"/>
        <v>11.5</v>
      </c>
      <c r="AS36" s="88">
        <f t="shared" si="50"/>
        <v>1.1830000000000001</v>
      </c>
      <c r="AT36" s="91">
        <f t="shared" si="89"/>
        <v>283</v>
      </c>
      <c r="AU36" s="94"/>
      <c r="AV36" s="95"/>
      <c r="AW36" s="56">
        <f t="shared" si="4"/>
        <v>0</v>
      </c>
      <c r="AX36" s="351"/>
      <c r="AY36" s="100">
        <f t="shared" si="52"/>
        <v>9.9166666666666661</v>
      </c>
      <c r="AZ36" s="360"/>
      <c r="BA36" s="91">
        <f t="shared" si="90"/>
        <v>-272.36254699999995</v>
      </c>
      <c r="BB36" s="5">
        <f t="shared" si="5"/>
        <v>-9.9166666666666661</v>
      </c>
      <c r="BC36" s="363"/>
      <c r="BD36" s="91" t="e">
        <f t="shared" ca="1" si="6"/>
        <v>#N/A</v>
      </c>
      <c r="BE36" s="91" t="e">
        <f t="shared" ca="1" si="7"/>
        <v>#N/A</v>
      </c>
      <c r="BF36" s="91">
        <f t="shared" si="8"/>
        <v>31.833333333333329</v>
      </c>
      <c r="BG36" s="91" t="e">
        <f t="shared" ca="1" si="9"/>
        <v>#N/A</v>
      </c>
      <c r="BH36" s="91" t="e">
        <f t="shared" ca="1" si="61"/>
        <v>#N/A</v>
      </c>
      <c r="BI36" s="10" t="e">
        <f t="shared" ca="1" si="40"/>
        <v>#N/A</v>
      </c>
      <c r="BJ36" s="104">
        <f>((M36+Q36)*AJ36+AK36)+((U36-W36+W36/('Vergleich Holz Strom'!$B$8-0.6))*AO36+AP36)</f>
        <v>21.916666666666664</v>
      </c>
      <c r="BK36" s="10" t="e">
        <f t="shared" ca="1" si="11"/>
        <v>#N/A</v>
      </c>
      <c r="BL36" s="379"/>
      <c r="BM36" s="104" t="e">
        <f t="shared" ca="1" si="27"/>
        <v>#N/A</v>
      </c>
      <c r="BN36" s="40" t="e">
        <f ca="1">IF(ISNUMBER(BK36),BN35+SUMIF(BK26:BK37,"&lt;&gt;#NV",BK26:BK37)/COUNTIF(BK26:BK37,"&lt;&gt;#NV"),#N/A)</f>
        <v>#N/A</v>
      </c>
      <c r="BO36" s="10" t="e">
        <f t="shared" ref="BO36:BO46" ca="1" si="104">BK36+AT36+AU36</f>
        <v>#N/A</v>
      </c>
      <c r="BP36" s="104" t="e">
        <f t="shared" ca="1" si="29"/>
        <v>#N/A</v>
      </c>
      <c r="BQ36" s="104">
        <f ca="1">IF(B37&lt;=TODAY(),BP36,IF(E36=0,BQ35+BQ24*1.6-BQ23*1.6,BP36))</f>
        <v>-62211.902546999976</v>
      </c>
      <c r="BR36" s="10">
        <f t="shared" si="12"/>
        <v>9.9166666666666661</v>
      </c>
      <c r="BS36" s="311"/>
      <c r="BT36" s="307"/>
      <c r="BU36" s="295">
        <f t="shared" si="13"/>
        <v>0</v>
      </c>
      <c r="BV36" s="323"/>
      <c r="BW36" s="299">
        <f t="shared" si="14"/>
        <v>0</v>
      </c>
      <c r="BX36" s="295">
        <f t="shared" si="15"/>
        <v>0</v>
      </c>
      <c r="BY36" s="382"/>
      <c r="BZ36" s="299">
        <f t="shared" si="30"/>
        <v>0</v>
      </c>
      <c r="CA36" s="295">
        <f t="shared" si="42"/>
        <v>0</v>
      </c>
      <c r="CB36" s="323"/>
      <c r="CC36" s="314">
        <f t="shared" si="76"/>
        <v>0</v>
      </c>
      <c r="CD36" s="326"/>
      <c r="CE36" s="299">
        <f t="shared" si="17"/>
        <v>0</v>
      </c>
      <c r="CF36" s="284">
        <f t="shared" si="77"/>
        <v>0</v>
      </c>
      <c r="CG36" s="323"/>
      <c r="CH36" s="302">
        <f t="shared" si="58"/>
        <v>0</v>
      </c>
      <c r="CI36" s="108">
        <f t="shared" si="19"/>
        <v>0</v>
      </c>
      <c r="CJ36" s="200">
        <f t="shared" si="20"/>
        <v>0</v>
      </c>
      <c r="CK36" s="197">
        <f t="shared" si="51"/>
        <v>0</v>
      </c>
      <c r="CL36" s="203">
        <f t="shared" si="21"/>
        <v>12</v>
      </c>
      <c r="CM36" s="4">
        <f>U36*Jahresdaten!$AD$2</f>
        <v>0</v>
      </c>
      <c r="CN36" s="112">
        <f>CJ36*Jahresdaten!$AD$2</f>
        <v>0</v>
      </c>
      <c r="CO36" s="366"/>
      <c r="CP36" s="116">
        <f>U36*Jahresdaten!$AD$3</f>
        <v>0</v>
      </c>
      <c r="CQ36" s="12">
        <f>CJ36*Jahresdaten!$AD$3</f>
        <v>0</v>
      </c>
      <c r="CR36" s="353"/>
      <c r="CS36" s="14"/>
      <c r="CT36" s="136"/>
      <c r="CU36" s="140" t="str">
        <f>IF(CT36=0,"",CT36*'Vergleich Holz Strom'!$B$2)</f>
        <v/>
      </c>
      <c r="CV36" s="353"/>
      <c r="CW36" s="366"/>
      <c r="CX36" s="345"/>
      <c r="CY36" s="345"/>
      <c r="CZ36" s="345"/>
      <c r="DA36" s="348"/>
      <c r="DB36" s="94"/>
      <c r="DC36" s="88">
        <f t="shared" si="53"/>
        <v>4090.4280000000012</v>
      </c>
      <c r="DD36" s="94"/>
      <c r="DE36" s="88">
        <f t="shared" si="56"/>
        <v>-2398.1125469999997</v>
      </c>
      <c r="DF36" s="100" t="e">
        <f ca="1">BE36+(SUM(CS26:CS37)/12)</f>
        <v>#N/A</v>
      </c>
      <c r="DG36" s="351"/>
      <c r="DH36" s="8">
        <f t="shared" si="91"/>
        <v>0</v>
      </c>
      <c r="DI36" s="123">
        <f t="shared" si="86"/>
        <v>19300</v>
      </c>
      <c r="DJ36" s="2">
        <f t="shared" si="92"/>
        <v>0</v>
      </c>
      <c r="DK36" s="127">
        <f>DK37/12*11</f>
        <v>7150</v>
      </c>
      <c r="DL36" s="2">
        <f t="shared" si="93"/>
        <v>650</v>
      </c>
      <c r="DM36" s="130">
        <f t="shared" si="94"/>
        <v>0</v>
      </c>
      <c r="DN36" s="3">
        <f>DN37/12*11</f>
        <v>2750</v>
      </c>
      <c r="DO36" s="130">
        <f t="shared" si="95"/>
        <v>250</v>
      </c>
      <c r="DP36" s="4">
        <f t="shared" si="96"/>
        <v>0</v>
      </c>
      <c r="DQ36" s="116">
        <f t="shared" si="97"/>
        <v>9400</v>
      </c>
      <c r="DR36" s="116">
        <f t="shared" si="99"/>
        <v>150</v>
      </c>
    </row>
    <row r="37" spans="1:122" s="28" customFormat="1" ht="15" customHeight="1" thickBot="1" x14ac:dyDescent="0.2">
      <c r="A37" s="417"/>
      <c r="B37" s="18">
        <v>44440</v>
      </c>
      <c r="C37" s="208">
        <f>'PV-Felder'!$I$10</f>
        <v>2246.7000000000003</v>
      </c>
      <c r="D37" s="352"/>
      <c r="E37" s="63">
        <v>0</v>
      </c>
      <c r="F37" s="352"/>
      <c r="G37" s="57" t="e">
        <f t="shared" ca="1" si="0"/>
        <v>#N/A</v>
      </c>
      <c r="H37" s="352"/>
      <c r="I37" s="63">
        <v>0</v>
      </c>
      <c r="J37" s="352"/>
      <c r="K37" s="63">
        <v>0</v>
      </c>
      <c r="L37" s="352"/>
      <c r="M37" s="67">
        <f t="shared" si="1"/>
        <v>0</v>
      </c>
      <c r="N37" s="374"/>
      <c r="O37" s="290"/>
      <c r="P37" s="290"/>
      <c r="Q37" s="289">
        <f t="shared" si="2"/>
        <v>0</v>
      </c>
      <c r="R37" s="334"/>
      <c r="S37" s="63">
        <v>0</v>
      </c>
      <c r="T37" s="377"/>
      <c r="U37" s="63">
        <v>0</v>
      </c>
      <c r="V37" s="343"/>
      <c r="W37" s="63">
        <v>0</v>
      </c>
      <c r="X37" s="343"/>
      <c r="Y37" s="213" t="e">
        <f t="shared" si="59"/>
        <v>#N/A</v>
      </c>
      <c r="Z37" s="371"/>
      <c r="AA37" s="63">
        <v>0</v>
      </c>
      <c r="AB37" s="352"/>
      <c r="AC37" s="63">
        <v>0</v>
      </c>
      <c r="AD37" s="352"/>
      <c r="AE37" s="73" t="e">
        <f t="shared" si="38"/>
        <v>#N/A</v>
      </c>
      <c r="AF37" s="357"/>
      <c r="AG37" s="75" t="e">
        <f t="shared" si="3"/>
        <v>#N/A</v>
      </c>
      <c r="AH37" s="357"/>
      <c r="AI37" s="223">
        <f>AI36</f>
        <v>29.26</v>
      </c>
      <c r="AJ37" s="83">
        <f t="shared" ref="AJ37:AP37" si="105">AJ36</f>
        <v>0.26750000000000002</v>
      </c>
      <c r="AK37" s="21">
        <f t="shared" si="105"/>
        <v>9.9166666666666661</v>
      </c>
      <c r="AL37" s="84">
        <f t="shared" si="105"/>
        <v>187</v>
      </c>
      <c r="AM37" s="83">
        <f t="shared" si="105"/>
        <v>9.737942583732058E-2</v>
      </c>
      <c r="AN37" s="84">
        <f t="shared" si="55"/>
        <v>143</v>
      </c>
      <c r="AO37" s="83">
        <f t="shared" si="105"/>
        <v>0.21099999999999999</v>
      </c>
      <c r="AP37" s="90">
        <f t="shared" si="105"/>
        <v>12</v>
      </c>
      <c r="AQ37" s="125">
        <f t="shared" si="47"/>
        <v>21.5</v>
      </c>
      <c r="AR37" s="125">
        <f t="shared" si="48"/>
        <v>11.5</v>
      </c>
      <c r="AS37" s="92">
        <f t="shared" si="50"/>
        <v>1.1830000000000001</v>
      </c>
      <c r="AT37" s="92">
        <f t="shared" si="89"/>
        <v>283</v>
      </c>
      <c r="AU37" s="98"/>
      <c r="AV37" s="99"/>
      <c r="AW37" s="57">
        <f t="shared" si="4"/>
        <v>0</v>
      </c>
      <c r="AX37" s="352"/>
      <c r="AY37" s="102">
        <f t="shared" si="52"/>
        <v>9.9166666666666661</v>
      </c>
      <c r="AZ37" s="361"/>
      <c r="BA37" s="92">
        <f t="shared" si="90"/>
        <v>-282.27921366666664</v>
      </c>
      <c r="BB37" s="22">
        <f t="shared" si="5"/>
        <v>-9.9166666666666661</v>
      </c>
      <c r="BC37" s="364"/>
      <c r="BD37" s="92" t="e">
        <f t="shared" ca="1" si="6"/>
        <v>#N/A</v>
      </c>
      <c r="BE37" s="92" t="e">
        <f t="shared" ca="1" si="7"/>
        <v>#N/A</v>
      </c>
      <c r="BF37" s="92">
        <f t="shared" si="8"/>
        <v>31.833333333333329</v>
      </c>
      <c r="BG37" s="92" t="e">
        <f t="shared" ca="1" si="9"/>
        <v>#N/A</v>
      </c>
      <c r="BH37" s="92" t="e">
        <f t="shared" ca="1" si="61"/>
        <v>#N/A</v>
      </c>
      <c r="BI37" s="24" t="e">
        <f t="shared" ca="1" si="40"/>
        <v>#N/A</v>
      </c>
      <c r="BJ37" s="106">
        <f>((M37+Q37)*AJ37+AK37)+((U37-W37+W37/('Vergleich Holz Strom'!$B$8-0.6))*AO37+AP37)</f>
        <v>21.916666666666664</v>
      </c>
      <c r="BK37" s="24" t="e">
        <f t="shared" ca="1" si="11"/>
        <v>#N/A</v>
      </c>
      <c r="BL37" s="380"/>
      <c r="BM37" s="106" t="e">
        <f t="shared" ca="1" si="27"/>
        <v>#N/A</v>
      </c>
      <c r="BN37" s="226" t="e">
        <f ca="1">IF(ISNUMBER(BK37),BN36+SUMIF(BK26:BK37,"&lt;&gt;#NV",BK26:BK37)/COUNTIF(BK26:BK37,"&lt;&gt;#NV"),#N/A)</f>
        <v>#N/A</v>
      </c>
      <c r="BO37" s="318" t="e">
        <f t="shared" ca="1" si="104"/>
        <v>#N/A</v>
      </c>
      <c r="BP37" s="106" t="e">
        <f t="shared" ca="1" si="29"/>
        <v>#N/A</v>
      </c>
      <c r="BQ37" s="106">
        <f ca="1">IF(B38&lt;=TODAY(),BP37,IF(E37=0,BQ36+BQ25*1.6-BQ24*1.6,BP37))</f>
        <v>-62192.702546999979</v>
      </c>
      <c r="BR37" s="24">
        <f t="shared" si="12"/>
        <v>9.9166666666666661</v>
      </c>
      <c r="BS37" s="312"/>
      <c r="BT37" s="308"/>
      <c r="BU37" s="296">
        <f t="shared" si="13"/>
        <v>0</v>
      </c>
      <c r="BV37" s="324"/>
      <c r="BW37" s="292">
        <f t="shared" si="14"/>
        <v>0</v>
      </c>
      <c r="BX37" s="295">
        <f t="shared" si="15"/>
        <v>0</v>
      </c>
      <c r="BY37" s="382"/>
      <c r="BZ37" s="299">
        <f t="shared" si="30"/>
        <v>0</v>
      </c>
      <c r="CA37" s="296">
        <f t="shared" si="42"/>
        <v>0</v>
      </c>
      <c r="CB37" s="324"/>
      <c r="CC37" s="315">
        <f t="shared" si="76"/>
        <v>0</v>
      </c>
      <c r="CD37" s="327"/>
      <c r="CE37" s="292">
        <f t="shared" si="17"/>
        <v>0</v>
      </c>
      <c r="CF37" s="296">
        <f t="shared" si="77"/>
        <v>0</v>
      </c>
      <c r="CG37" s="324"/>
      <c r="CH37" s="303">
        <f t="shared" si="58"/>
        <v>0</v>
      </c>
      <c r="CI37" s="110">
        <f t="shared" si="19"/>
        <v>0</v>
      </c>
      <c r="CJ37" s="200">
        <f t="shared" si="20"/>
        <v>0</v>
      </c>
      <c r="CK37" s="25">
        <f t="shared" si="51"/>
        <v>0</v>
      </c>
      <c r="CL37" s="204">
        <f t="shared" si="21"/>
        <v>12</v>
      </c>
      <c r="CM37" s="26">
        <f>U37*Jahresdaten!$AD$2</f>
        <v>0</v>
      </c>
      <c r="CN37" s="114">
        <f>CJ37*Jahresdaten!$AD$2</f>
        <v>0</v>
      </c>
      <c r="CO37" s="346"/>
      <c r="CP37" s="118">
        <f>U37*Jahresdaten!$AD$3</f>
        <v>0</v>
      </c>
      <c r="CQ37" s="25">
        <f>CJ37*Jahresdaten!$AD$3</f>
        <v>0</v>
      </c>
      <c r="CR37" s="354"/>
      <c r="CS37" s="23"/>
      <c r="CT37" s="138"/>
      <c r="CU37" s="141" t="str">
        <f>IF(CT37=0,"",CT37*'Vergleich Holz Strom'!$B$2)</f>
        <v/>
      </c>
      <c r="CV37" s="354"/>
      <c r="CW37" s="346"/>
      <c r="CX37" s="346"/>
      <c r="CY37" s="346"/>
      <c r="CZ37" s="346"/>
      <c r="DA37" s="349"/>
      <c r="DB37" s="98"/>
      <c r="DC37" s="90">
        <f t="shared" si="53"/>
        <v>4267.5113333333347</v>
      </c>
      <c r="DD37" s="98"/>
      <c r="DE37" s="90">
        <f t="shared" si="56"/>
        <v>-2541.1125469999997</v>
      </c>
      <c r="DF37" s="102" t="e">
        <f ca="1">BE37+(SUM(CS26:CS37)/12)</f>
        <v>#N/A</v>
      </c>
      <c r="DG37" s="352"/>
      <c r="DH37" s="19">
        <f t="shared" si="91"/>
        <v>0</v>
      </c>
      <c r="DI37" s="125">
        <f t="shared" si="86"/>
        <v>20800</v>
      </c>
      <c r="DJ37" s="20">
        <f t="shared" si="92"/>
        <v>0</v>
      </c>
      <c r="DK37" s="129">
        <f>DK25</f>
        <v>7800</v>
      </c>
      <c r="DL37" s="20">
        <f t="shared" si="93"/>
        <v>650</v>
      </c>
      <c r="DM37" s="132">
        <f t="shared" si="94"/>
        <v>0</v>
      </c>
      <c r="DN37" s="27">
        <f>DN25</f>
        <v>3000</v>
      </c>
      <c r="DO37" s="132">
        <f t="shared" si="95"/>
        <v>250</v>
      </c>
      <c r="DP37" s="26">
        <f t="shared" si="96"/>
        <v>0</v>
      </c>
      <c r="DQ37" s="118">
        <f>DQ25</f>
        <v>10000</v>
      </c>
      <c r="DR37" s="118">
        <f>DR25</f>
        <v>600</v>
      </c>
    </row>
    <row r="38" spans="1:122" ht="15" customHeight="1" thickBot="1" x14ac:dyDescent="0.2">
      <c r="A38" s="415" t="s">
        <v>161</v>
      </c>
      <c r="B38" s="16">
        <v>44470</v>
      </c>
      <c r="C38" s="207">
        <f>'PV-Felder'!$I$11</f>
        <v>1416.7</v>
      </c>
      <c r="D38" s="358">
        <f>SUMIF(E38:E49,"&gt;0",C38:C49)</f>
        <v>0</v>
      </c>
      <c r="E38" s="61">
        <v>0</v>
      </c>
      <c r="F38" s="368">
        <f>SUM(E38:E49)</f>
        <v>0</v>
      </c>
      <c r="G38" s="58" t="e">
        <f t="shared" ca="1" si="0"/>
        <v>#N/A</v>
      </c>
      <c r="H38" s="358" t="e">
        <f ca="1">IF(TODAY()&lt;B38,#N/A,F38-D38)</f>
        <v>#N/A</v>
      </c>
      <c r="I38" s="61">
        <v>0</v>
      </c>
      <c r="J38" s="368">
        <f>SUM(I38:I49)</f>
        <v>0</v>
      </c>
      <c r="K38" s="61">
        <v>0</v>
      </c>
      <c r="L38" s="368">
        <f>SUM(K38:K49)</f>
        <v>0</v>
      </c>
      <c r="M38" s="66">
        <f t="shared" si="1"/>
        <v>0</v>
      </c>
      <c r="N38" s="372">
        <f>SUM(M38:M49)</f>
        <v>0</v>
      </c>
      <c r="Q38" s="287">
        <f t="shared" si="2"/>
        <v>0</v>
      </c>
      <c r="R38" s="333">
        <f>SUM(Q38:Q49)</f>
        <v>0</v>
      </c>
      <c r="S38" s="61">
        <v>0</v>
      </c>
      <c r="T38" s="375">
        <f>SUM(S38:S49)</f>
        <v>0</v>
      </c>
      <c r="U38" s="61">
        <v>0</v>
      </c>
      <c r="V38" s="341">
        <f>SUM(U38:U49)</f>
        <v>0</v>
      </c>
      <c r="W38" s="61">
        <v>0</v>
      </c>
      <c r="X38" s="341">
        <f>SUM(W38:W49)</f>
        <v>0</v>
      </c>
      <c r="Y38" s="211" t="e">
        <f t="shared" ref="Y38:Y89" si="106">IF(M38+S38+U38&gt;0,M38+S38+U38,#N/A)</f>
        <v>#N/A</v>
      </c>
      <c r="Z38" s="369">
        <f>N38+T38+V38</f>
        <v>0</v>
      </c>
      <c r="AA38" s="62">
        <v>0</v>
      </c>
      <c r="AB38" s="368">
        <f>SUM(AA38:AA49)</f>
        <v>0</v>
      </c>
      <c r="AC38" s="62">
        <v>0</v>
      </c>
      <c r="AD38" s="368">
        <f>SUM(AC38:AC49)</f>
        <v>0</v>
      </c>
      <c r="AE38" s="74" t="e">
        <f t="shared" si="38"/>
        <v>#N/A</v>
      </c>
      <c r="AF38" s="355" t="e">
        <f>IF(SUMIF(AE38:AE49,"&gt;0")&gt;0,SUMIF(AE38:AE49,"&gt;0")/COUNTIF(AE38:AE49,"&gt;0"),#N/A)</f>
        <v>#N/A</v>
      </c>
      <c r="AG38" s="73" t="e">
        <f t="shared" si="3"/>
        <v>#N/A</v>
      </c>
      <c r="AH38" s="355" t="e">
        <f>IF(SUMIF(AG38:AG49,"&gt;0")&gt;0,SUMIF(AG38:AG49,"&gt;0")/COUNTIF(AG38:AG49,"&gt;0"),#N/A)</f>
        <v>#N/A</v>
      </c>
      <c r="AI38" s="222">
        <f>AI37</f>
        <v>29.26</v>
      </c>
      <c r="AJ38" s="78">
        <f t="shared" ref="AJ38:AP38" si="107">AJ37</f>
        <v>0.26750000000000002</v>
      </c>
      <c r="AK38" s="79">
        <f t="shared" si="107"/>
        <v>9.9166666666666661</v>
      </c>
      <c r="AL38" s="80">
        <f t="shared" si="107"/>
        <v>187</v>
      </c>
      <c r="AM38" s="78">
        <f t="shared" si="107"/>
        <v>9.737942583732058E-2</v>
      </c>
      <c r="AN38" s="80">
        <f t="shared" si="55"/>
        <v>143</v>
      </c>
      <c r="AO38" s="78">
        <f t="shared" si="107"/>
        <v>0.21099999999999999</v>
      </c>
      <c r="AP38" s="88">
        <f t="shared" si="107"/>
        <v>12</v>
      </c>
      <c r="AQ38" s="64">
        <f t="shared" si="47"/>
        <v>21.5</v>
      </c>
      <c r="AR38" s="64">
        <f t="shared" si="48"/>
        <v>11.5</v>
      </c>
      <c r="AS38" s="88">
        <f t="shared" si="50"/>
        <v>1.1830000000000001</v>
      </c>
      <c r="AT38" s="91">
        <f t="shared" si="89"/>
        <v>283</v>
      </c>
      <c r="AU38" s="94"/>
      <c r="AV38" s="95"/>
      <c r="AW38" s="56">
        <f t="shared" si="4"/>
        <v>0</v>
      </c>
      <c r="AX38" s="358">
        <f>SUM(AW38:AW49)</f>
        <v>0</v>
      </c>
      <c r="AY38" s="100">
        <f t="shared" si="52"/>
        <v>9.9166666666666661</v>
      </c>
      <c r="AZ38" s="359">
        <f>SUM(AY38:AY49)</f>
        <v>119.00000000000001</v>
      </c>
      <c r="BA38" s="103">
        <f>BA37-AY38</f>
        <v>-292.19588033333332</v>
      </c>
      <c r="BB38" s="5">
        <f t="shared" si="5"/>
        <v>-9.9166666666666661</v>
      </c>
      <c r="BC38" s="362">
        <f>SUM(AY38:AY49)/12</f>
        <v>9.9166666666666679</v>
      </c>
      <c r="BD38" s="91" t="e">
        <f t="shared" ca="1" si="6"/>
        <v>#N/A</v>
      </c>
      <c r="BE38" s="91" t="e">
        <f t="shared" ca="1" si="7"/>
        <v>#N/A</v>
      </c>
      <c r="BF38" s="91">
        <f t="shared" si="8"/>
        <v>31.833333333333329</v>
      </c>
      <c r="BG38" s="91" t="e">
        <f t="shared" ca="1" si="9"/>
        <v>#N/A</v>
      </c>
      <c r="BH38" s="91" t="e">
        <f t="shared" ca="1" si="61"/>
        <v>#N/A</v>
      </c>
      <c r="BI38" s="10" t="e">
        <f t="shared" ca="1" si="40"/>
        <v>#N/A</v>
      </c>
      <c r="BJ38" s="104">
        <f>((M38+Q38)*AJ38+AK38)+((U38-W38+W38/('Vergleich Holz Strom'!$B$8-0.6))*AO38+AP38)</f>
        <v>21.916666666666664</v>
      </c>
      <c r="BK38" s="10" t="e">
        <f t="shared" ca="1" si="11"/>
        <v>#N/A</v>
      </c>
      <c r="BL38" s="378">
        <f ca="1">SUMIF(BK38:BK49,"&lt;&gt;#NV",BK38:BK49)</f>
        <v>0</v>
      </c>
      <c r="BM38" s="104" t="e">
        <f t="shared" ca="1" si="27"/>
        <v>#N/A</v>
      </c>
      <c r="BN38" s="40" t="e">
        <f ca="1">IF(ISNUMBER(BK38),BN37+SUMIF(BK38:BK49,"&lt;&gt;#NV",BK38:BK49)/COUNTIF(BK38:BK49,"&lt;&gt;#NV"),#N/A)</f>
        <v>#N/A</v>
      </c>
      <c r="BO38" s="10" t="e">
        <f t="shared" ca="1" si="104"/>
        <v>#N/A</v>
      </c>
      <c r="BP38" s="105" t="e">
        <f t="shared" ca="1" si="29"/>
        <v>#N/A</v>
      </c>
      <c r="BQ38" s="104">
        <f t="shared" ref="BQ38:BQ45" ca="1" si="108">IF(B39&lt;=TODAY(),BP38,IF(E38=0,BQ37+((BQ26-BQ25)),BP38))</f>
        <v>-62180.702546999979</v>
      </c>
      <c r="BR38" s="10">
        <f t="shared" si="12"/>
        <v>9.9166666666666661</v>
      </c>
      <c r="BS38" s="311"/>
      <c r="BT38" s="307"/>
      <c r="BU38" s="295">
        <f t="shared" si="13"/>
        <v>0</v>
      </c>
      <c r="BV38" s="322">
        <f>SUM(BU38:BU49)</f>
        <v>0</v>
      </c>
      <c r="BW38" s="300">
        <f t="shared" si="14"/>
        <v>0</v>
      </c>
      <c r="BX38" s="305">
        <f t="shared" si="15"/>
        <v>0</v>
      </c>
      <c r="BY38" s="381">
        <f>SUM(BX38:BX49)</f>
        <v>0</v>
      </c>
      <c r="BZ38" s="300">
        <f t="shared" si="30"/>
        <v>0</v>
      </c>
      <c r="CA38" s="295">
        <f t="shared" si="42"/>
        <v>0</v>
      </c>
      <c r="CB38" s="322">
        <f>SUM(CA38:CA49)</f>
        <v>0</v>
      </c>
      <c r="CC38" s="314">
        <f t="shared" si="76"/>
        <v>0</v>
      </c>
      <c r="CD38" s="325">
        <f>SUM(CC38:CC49)</f>
        <v>0</v>
      </c>
      <c r="CE38" s="299">
        <f t="shared" si="17"/>
        <v>0</v>
      </c>
      <c r="CF38" s="284">
        <f t="shared" si="77"/>
        <v>0</v>
      </c>
      <c r="CG38" s="328">
        <f>SUM(CF38:CF49)</f>
        <v>0</v>
      </c>
      <c r="CH38" s="302">
        <f t="shared" si="58"/>
        <v>0</v>
      </c>
      <c r="CI38" s="108">
        <f t="shared" si="19"/>
        <v>0</v>
      </c>
      <c r="CJ38" s="201">
        <f t="shared" si="20"/>
        <v>0</v>
      </c>
      <c r="CK38" s="197">
        <f t="shared" si="51"/>
        <v>0</v>
      </c>
      <c r="CL38" s="203">
        <f t="shared" si="21"/>
        <v>12</v>
      </c>
      <c r="CM38" s="4">
        <f>U38*Jahresdaten!$AD$2</f>
        <v>0</v>
      </c>
      <c r="CN38" s="112">
        <f>CJ38*Jahresdaten!$AD$2</f>
        <v>0</v>
      </c>
      <c r="CO38" s="365">
        <f>CW38*Jahresdaten!$AD$2</f>
        <v>856.59076092206669</v>
      </c>
      <c r="CP38" s="116">
        <f>U38*Jahresdaten!$AD$3</f>
        <v>0</v>
      </c>
      <c r="CQ38" s="12">
        <f>CJ38*Jahresdaten!$AD$3</f>
        <v>0</v>
      </c>
      <c r="CR38" s="367">
        <f>CW38*Jahresdaten!$AD$3</f>
        <v>312.40923907793319</v>
      </c>
      <c r="CS38" s="14">
        <f>CS26</f>
        <v>1169</v>
      </c>
      <c r="CT38" s="136">
        <f>CT26</f>
        <v>12</v>
      </c>
      <c r="CU38" s="140">
        <f>IF(CT38=0,"",CT38*'Vergleich Holz Strom'!$B$2)</f>
        <v>25800</v>
      </c>
      <c r="CV38" s="120" t="s">
        <v>7</v>
      </c>
      <c r="CW38" s="365">
        <f>CV39+CV45</f>
        <v>1169</v>
      </c>
      <c r="CX38" s="344">
        <f>SUM(CS38:CS49)/SUM(CU38:CU49)*(SUM(CU38:CU49)+(V38*('Vergleich Holz Strom'!$B$8-0.6)/'Vergleich Holz Strom'!$E$6))</f>
        <v>1169</v>
      </c>
      <c r="CY38" s="344">
        <f>SUM(CU38:CU49)*'Vergleich Holz Strom'!$E$6/('Vergleich Holz Strom'!$B$8-0.6)*(SUM(AJ38:AJ49)/12)+CV39</f>
        <v>1420.8970588235295</v>
      </c>
      <c r="CZ38" s="344">
        <f>SUM(CU38:CU49)*'Vergleich Holz Strom'!$E$6/('Vergleich Holz Strom'!$B$8-0.6)*SUM(AM38:AM49)/12+SUM(CK38:CK49)</f>
        <v>517.25659724176774</v>
      </c>
      <c r="DA38" s="347">
        <f>SUM(CU38:CU49)*'Vergleich Holz Strom'!$E$6/('Vergleich Holz Strom'!$B$8-0.6)*(SUM(AO38:AO49)/12)+SUM(CL38:CL49)</f>
        <v>1264.7823529411764</v>
      </c>
      <c r="DB38" s="94"/>
      <c r="DC38" s="88">
        <f t="shared" si="53"/>
        <v>4444.5946666666678</v>
      </c>
      <c r="DD38" s="94"/>
      <c r="DE38" s="88">
        <f t="shared" si="56"/>
        <v>-2684.1125469999997</v>
      </c>
      <c r="DF38" s="100" t="e">
        <f ca="1">BE38+(SUM(CS38:CS49)/12)</f>
        <v>#N/A</v>
      </c>
      <c r="DG38" s="350">
        <f ca="1">SUMIF(DF38:DF49,"&gt;0")</f>
        <v>0</v>
      </c>
      <c r="DH38" s="8">
        <f>M38+S38+U38</f>
        <v>0</v>
      </c>
      <c r="DI38" s="123">
        <f t="shared" ref="DI38:DI49" si="109">DK38+DN38+DQ38</f>
        <v>1850</v>
      </c>
      <c r="DJ38" s="2">
        <f>M38</f>
        <v>0</v>
      </c>
      <c r="DK38" s="127">
        <f>DK49/12*1</f>
        <v>650</v>
      </c>
      <c r="DL38" s="2">
        <f>DL37</f>
        <v>650</v>
      </c>
      <c r="DM38" s="130">
        <f>S38</f>
        <v>0</v>
      </c>
      <c r="DN38" s="3">
        <f>DN49/12*1</f>
        <v>250</v>
      </c>
      <c r="DO38" s="130">
        <f>DO37</f>
        <v>250</v>
      </c>
      <c r="DP38" s="4">
        <f>U38</f>
        <v>0</v>
      </c>
      <c r="DQ38" s="116">
        <f>DR38</f>
        <v>950</v>
      </c>
      <c r="DR38" s="116">
        <f>DR26</f>
        <v>950</v>
      </c>
    </row>
    <row r="39" spans="1:122" ht="14.25" customHeight="1" thickBot="1" x14ac:dyDescent="0.2">
      <c r="A39" s="416"/>
      <c r="B39" s="16">
        <v>44501</v>
      </c>
      <c r="C39" s="207">
        <f>'PV-Felder'!$I$12</f>
        <v>739.6</v>
      </c>
      <c r="D39" s="351"/>
      <c r="E39" s="61">
        <v>0</v>
      </c>
      <c r="F39" s="351"/>
      <c r="G39" s="56" t="e">
        <f t="shared" ca="1" si="0"/>
        <v>#N/A</v>
      </c>
      <c r="H39" s="351"/>
      <c r="I39" s="61">
        <v>0</v>
      </c>
      <c r="J39" s="351"/>
      <c r="K39" s="61">
        <v>0</v>
      </c>
      <c r="L39" s="351"/>
      <c r="M39" s="65">
        <f t="shared" si="1"/>
        <v>0</v>
      </c>
      <c r="N39" s="373"/>
      <c r="O39" s="288"/>
      <c r="P39" s="288"/>
      <c r="Q39" s="286">
        <f t="shared" si="2"/>
        <v>0</v>
      </c>
      <c r="R39" s="334"/>
      <c r="S39" s="61">
        <v>0</v>
      </c>
      <c r="T39" s="376"/>
      <c r="U39" s="61">
        <v>0</v>
      </c>
      <c r="V39" s="342"/>
      <c r="W39" s="61">
        <v>0</v>
      </c>
      <c r="X39" s="342"/>
      <c r="Y39" s="211" t="e">
        <f t="shared" si="106"/>
        <v>#N/A</v>
      </c>
      <c r="Z39" s="370"/>
      <c r="AA39" s="61">
        <v>0</v>
      </c>
      <c r="AB39" s="351"/>
      <c r="AC39" s="61">
        <v>0</v>
      </c>
      <c r="AD39" s="351"/>
      <c r="AE39" s="73" t="e">
        <f t="shared" si="38"/>
        <v>#N/A</v>
      </c>
      <c r="AF39" s="356"/>
      <c r="AG39" s="73" t="e">
        <f t="shared" si="3"/>
        <v>#N/A</v>
      </c>
      <c r="AH39" s="356"/>
      <c r="AI39" s="221">
        <f>AI38</f>
        <v>29.26</v>
      </c>
      <c r="AJ39" s="78">
        <f t="shared" ref="AJ39:AM40" si="110">AJ38</f>
        <v>0.26750000000000002</v>
      </c>
      <c r="AK39" s="79">
        <f t="shared" si="110"/>
        <v>9.9166666666666661</v>
      </c>
      <c r="AL39" s="80">
        <f t="shared" si="110"/>
        <v>187</v>
      </c>
      <c r="AM39" s="78">
        <f t="shared" si="110"/>
        <v>9.737942583732058E-2</v>
      </c>
      <c r="AN39" s="80">
        <f t="shared" si="55"/>
        <v>143</v>
      </c>
      <c r="AO39" s="78">
        <f>AO38</f>
        <v>0.21099999999999999</v>
      </c>
      <c r="AP39" s="88">
        <f>AP38</f>
        <v>12</v>
      </c>
      <c r="AQ39" s="64">
        <f t="shared" si="47"/>
        <v>21.5</v>
      </c>
      <c r="AR39" s="64">
        <f t="shared" si="48"/>
        <v>11.5</v>
      </c>
      <c r="AS39" s="88">
        <f t="shared" si="50"/>
        <v>1.1830000000000001</v>
      </c>
      <c r="AT39" s="91">
        <f t="shared" si="89"/>
        <v>283</v>
      </c>
      <c r="AU39" s="94"/>
      <c r="AV39" s="95"/>
      <c r="AW39" s="56">
        <f t="shared" si="4"/>
        <v>0</v>
      </c>
      <c r="AX39" s="351"/>
      <c r="AY39" s="100">
        <f t="shared" si="52"/>
        <v>9.9166666666666661</v>
      </c>
      <c r="AZ39" s="360"/>
      <c r="BA39" s="91">
        <f t="shared" ref="BA39:BA49" si="111">BA38-AY39</f>
        <v>-302.11254700000001</v>
      </c>
      <c r="BB39" s="5">
        <f t="shared" si="5"/>
        <v>-9.9166666666666661</v>
      </c>
      <c r="BC39" s="363"/>
      <c r="BD39" s="91" t="e">
        <f t="shared" ca="1" si="6"/>
        <v>#N/A</v>
      </c>
      <c r="BE39" s="91" t="e">
        <f t="shared" ca="1" si="7"/>
        <v>#N/A</v>
      </c>
      <c r="BF39" s="91">
        <f t="shared" si="8"/>
        <v>31.833333333333329</v>
      </c>
      <c r="BG39" s="91" t="e">
        <f t="shared" ca="1" si="9"/>
        <v>#N/A</v>
      </c>
      <c r="BH39" s="91" t="e">
        <f t="shared" ca="1" si="61"/>
        <v>#N/A</v>
      </c>
      <c r="BI39" s="10" t="e">
        <f t="shared" ca="1" si="40"/>
        <v>#N/A</v>
      </c>
      <c r="BJ39" s="104">
        <f>((M39+Q39)*AJ39+AK39)+((U39-W39+W39/('Vergleich Holz Strom'!$B$8-0.6))*AO39+AP39)</f>
        <v>21.916666666666664</v>
      </c>
      <c r="BK39" s="10" t="e">
        <f t="shared" ca="1" si="11"/>
        <v>#N/A</v>
      </c>
      <c r="BL39" s="379"/>
      <c r="BM39" s="104" t="e">
        <f t="shared" ca="1" si="27"/>
        <v>#N/A</v>
      </c>
      <c r="BN39" s="40" t="e">
        <f ca="1">IF(ISNUMBER(BK39),BN38+SUMIF(BK38:BK49,"&lt;&gt;#NV",BK38:BK49)/COUNTIF(BK38:BK49,"&lt;&gt;#NV"),#N/A)</f>
        <v>#N/A</v>
      </c>
      <c r="BO39" s="10" t="e">
        <f t="shared" ca="1" si="104"/>
        <v>#N/A</v>
      </c>
      <c r="BP39" s="104" t="e">
        <f t="shared" ca="1" si="29"/>
        <v>#N/A</v>
      </c>
      <c r="BQ39" s="104">
        <f t="shared" ca="1" si="108"/>
        <v>-62168.702546999979</v>
      </c>
      <c r="BR39" s="10">
        <f t="shared" si="12"/>
        <v>9.9166666666666661</v>
      </c>
      <c r="BS39" s="311"/>
      <c r="BT39" s="307"/>
      <c r="BU39" s="295">
        <f t="shared" si="13"/>
        <v>0</v>
      </c>
      <c r="BV39" s="323"/>
      <c r="BW39" s="299">
        <f t="shared" si="14"/>
        <v>0</v>
      </c>
      <c r="BX39" s="295">
        <f t="shared" si="15"/>
        <v>0</v>
      </c>
      <c r="BY39" s="382"/>
      <c r="BZ39" s="299">
        <f t="shared" si="30"/>
        <v>0</v>
      </c>
      <c r="CA39" s="295">
        <f t="shared" si="42"/>
        <v>0</v>
      </c>
      <c r="CB39" s="323"/>
      <c r="CC39" s="314">
        <f>Q39/AQ39*100+BS39/AQ39*100</f>
        <v>0</v>
      </c>
      <c r="CD39" s="326"/>
      <c r="CE39" s="299">
        <f t="shared" si="17"/>
        <v>0</v>
      </c>
      <c r="CF39" s="284">
        <f>CE39-CA39</f>
        <v>0</v>
      </c>
      <c r="CG39" s="323"/>
      <c r="CH39" s="302">
        <f t="shared" si="58"/>
        <v>0</v>
      </c>
      <c r="CI39" s="108">
        <f t="shared" si="19"/>
        <v>0</v>
      </c>
      <c r="CJ39" s="200">
        <f t="shared" si="20"/>
        <v>0</v>
      </c>
      <c r="CK39" s="197">
        <f t="shared" si="51"/>
        <v>0</v>
      </c>
      <c r="CL39" s="203">
        <f t="shared" si="21"/>
        <v>12</v>
      </c>
      <c r="CM39" s="4">
        <f>U39*Jahresdaten!$AD$2</f>
        <v>0</v>
      </c>
      <c r="CN39" s="112">
        <f>CJ39*Jahresdaten!$AD$2</f>
        <v>0</v>
      </c>
      <c r="CO39" s="366"/>
      <c r="CP39" s="116">
        <f>U39*Jahresdaten!$AD$3</f>
        <v>0</v>
      </c>
      <c r="CQ39" s="12">
        <f>CJ39*Jahresdaten!$AD$3</f>
        <v>0</v>
      </c>
      <c r="CR39" s="353"/>
      <c r="CS39" s="14"/>
      <c r="CT39" s="136"/>
      <c r="CU39" s="140" t="str">
        <f>IF(CT39=0,"",CT39*'Vergleich Holz Strom'!$B$2)</f>
        <v/>
      </c>
      <c r="CV39" s="353">
        <f>SUM(CJ38:CJ49)</f>
        <v>0</v>
      </c>
      <c r="CW39" s="366"/>
      <c r="CX39" s="345"/>
      <c r="CY39" s="345"/>
      <c r="CZ39" s="345"/>
      <c r="DA39" s="348"/>
      <c r="DB39" s="94"/>
      <c r="DC39" s="88">
        <f t="shared" si="53"/>
        <v>4621.6780000000008</v>
      </c>
      <c r="DD39" s="94"/>
      <c r="DE39" s="88">
        <f t="shared" si="56"/>
        <v>-2827.1125469999997</v>
      </c>
      <c r="DF39" s="100" t="e">
        <f ca="1">BE39+(SUM(CS38:CS49)/12)</f>
        <v>#N/A</v>
      </c>
      <c r="DG39" s="351"/>
      <c r="DH39" s="8">
        <f t="shared" ref="DH39:DH49" si="112">DH38+M39+S39+U39</f>
        <v>0</v>
      </c>
      <c r="DI39" s="123">
        <f t="shared" si="109"/>
        <v>3550</v>
      </c>
      <c r="DJ39" s="2">
        <f t="shared" ref="DJ39:DJ49" si="113">DJ38+M39</f>
        <v>0</v>
      </c>
      <c r="DK39" s="127">
        <f>DK49/12*2</f>
        <v>1300</v>
      </c>
      <c r="DL39" s="2">
        <f t="shared" ref="DL39:DL102" si="114">DL38</f>
        <v>650</v>
      </c>
      <c r="DM39" s="130">
        <f t="shared" ref="DM39:DM49" si="115">DM38+S39</f>
        <v>0</v>
      </c>
      <c r="DN39" s="3">
        <f>DN49/12*2</f>
        <v>500</v>
      </c>
      <c r="DO39" s="130">
        <f t="shared" ref="DO39:DO102" si="116">DO38</f>
        <v>250</v>
      </c>
      <c r="DP39" s="4">
        <f t="shared" ref="DP39:DP49" si="117">DP38+U39</f>
        <v>0</v>
      </c>
      <c r="DQ39" s="116">
        <f t="shared" ref="DQ39:DQ48" si="118">DQ38+DR39</f>
        <v>1750</v>
      </c>
      <c r="DR39" s="116">
        <f>DR27</f>
        <v>800</v>
      </c>
    </row>
    <row r="40" spans="1:122" ht="14.25" customHeight="1" thickBot="1" x14ac:dyDescent="0.2">
      <c r="A40" s="416"/>
      <c r="B40" s="16">
        <v>44531</v>
      </c>
      <c r="C40" s="207">
        <f>'PV-Felder'!$I$13</f>
        <v>559.9</v>
      </c>
      <c r="D40" s="351"/>
      <c r="E40" s="61">
        <v>0</v>
      </c>
      <c r="F40" s="351"/>
      <c r="G40" s="56" t="e">
        <f t="shared" ca="1" si="0"/>
        <v>#N/A</v>
      </c>
      <c r="H40" s="351"/>
      <c r="I40" s="61">
        <v>0</v>
      </c>
      <c r="J40" s="351"/>
      <c r="K40" s="61">
        <v>0</v>
      </c>
      <c r="L40" s="351"/>
      <c r="M40" s="65">
        <f t="shared" si="1"/>
        <v>0</v>
      </c>
      <c r="N40" s="373"/>
      <c r="O40" s="288"/>
      <c r="P40" s="288"/>
      <c r="Q40" s="286">
        <f t="shared" si="2"/>
        <v>0</v>
      </c>
      <c r="R40" s="334"/>
      <c r="S40" s="61">
        <v>0</v>
      </c>
      <c r="T40" s="376"/>
      <c r="U40" s="61">
        <v>0</v>
      </c>
      <c r="V40" s="342"/>
      <c r="W40" s="61">
        <v>0</v>
      </c>
      <c r="X40" s="342"/>
      <c r="Y40" s="211" t="e">
        <f t="shared" si="106"/>
        <v>#N/A</v>
      </c>
      <c r="Z40" s="370"/>
      <c r="AA40" s="61">
        <v>0</v>
      </c>
      <c r="AB40" s="351"/>
      <c r="AC40" s="61">
        <v>0</v>
      </c>
      <c r="AD40" s="351"/>
      <c r="AE40" s="73" t="e">
        <f t="shared" si="38"/>
        <v>#N/A</v>
      </c>
      <c r="AF40" s="356"/>
      <c r="AG40" s="73" t="e">
        <f t="shared" si="3"/>
        <v>#N/A</v>
      </c>
      <c r="AH40" s="356"/>
      <c r="AI40" s="221">
        <f t="shared" ref="AI40:AI48" si="119">AI39</f>
        <v>29.26</v>
      </c>
      <c r="AJ40" s="78">
        <f t="shared" si="110"/>
        <v>0.26750000000000002</v>
      </c>
      <c r="AK40" s="79">
        <f t="shared" si="110"/>
        <v>9.9166666666666661</v>
      </c>
      <c r="AL40" s="80">
        <f t="shared" si="110"/>
        <v>187</v>
      </c>
      <c r="AM40" s="78">
        <f t="shared" si="110"/>
        <v>9.737942583732058E-2</v>
      </c>
      <c r="AN40" s="80">
        <f t="shared" si="55"/>
        <v>143</v>
      </c>
      <c r="AO40" s="78">
        <f>AO39</f>
        <v>0.21099999999999999</v>
      </c>
      <c r="AP40" s="88">
        <f>AP39</f>
        <v>12</v>
      </c>
      <c r="AQ40" s="64">
        <f t="shared" si="47"/>
        <v>21.5</v>
      </c>
      <c r="AR40" s="64">
        <f t="shared" si="48"/>
        <v>11.5</v>
      </c>
      <c r="AS40" s="88">
        <f t="shared" si="50"/>
        <v>1.1830000000000001</v>
      </c>
      <c r="AT40" s="91">
        <f t="shared" si="89"/>
        <v>283</v>
      </c>
      <c r="AU40" s="94"/>
      <c r="AV40" s="95"/>
      <c r="AW40" s="56">
        <f t="shared" si="4"/>
        <v>0</v>
      </c>
      <c r="AX40" s="351"/>
      <c r="AY40" s="100">
        <f t="shared" si="52"/>
        <v>9.9166666666666661</v>
      </c>
      <c r="AZ40" s="360"/>
      <c r="BA40" s="91">
        <f t="shared" si="111"/>
        <v>-312.02921366666669</v>
      </c>
      <c r="BB40" s="5">
        <f t="shared" si="5"/>
        <v>-9.9166666666666661</v>
      </c>
      <c r="BC40" s="363"/>
      <c r="BD40" s="91" t="e">
        <f t="shared" ca="1" si="6"/>
        <v>#N/A</v>
      </c>
      <c r="BE40" s="91" t="e">
        <f t="shared" ca="1" si="7"/>
        <v>#N/A</v>
      </c>
      <c r="BF40" s="91">
        <f t="shared" si="8"/>
        <v>31.833333333333329</v>
      </c>
      <c r="BG40" s="91" t="e">
        <f t="shared" ca="1" si="9"/>
        <v>#N/A</v>
      </c>
      <c r="BH40" s="91" t="e">
        <f t="shared" ca="1" si="61"/>
        <v>#N/A</v>
      </c>
      <c r="BI40" s="10" t="e">
        <f t="shared" ca="1" si="40"/>
        <v>#N/A</v>
      </c>
      <c r="BJ40" s="104">
        <f>((M40+Q40)*AJ40+AK40)+((U40-W40+W40/('Vergleich Holz Strom'!$B$8-0.6))*AO40+AP40)</f>
        <v>21.916666666666664</v>
      </c>
      <c r="BK40" s="10" t="e">
        <f t="shared" ca="1" si="11"/>
        <v>#N/A</v>
      </c>
      <c r="BL40" s="379"/>
      <c r="BM40" s="104" t="e">
        <f t="shared" ca="1" si="27"/>
        <v>#N/A</v>
      </c>
      <c r="BN40" s="40" t="e">
        <f ca="1">IF(ISNUMBER(BK40),BN39+SUMIF(BK38:BK49,"&lt;&gt;#NV",BK38:BK49)/COUNTIF(BK38:BK49,"&lt;&gt;#NV"),#N/A)</f>
        <v>#N/A</v>
      </c>
      <c r="BO40" s="10" t="e">
        <f t="shared" ca="1" si="104"/>
        <v>#N/A</v>
      </c>
      <c r="BP40" s="104" t="e">
        <f t="shared" ca="1" si="29"/>
        <v>#N/A</v>
      </c>
      <c r="BQ40" s="104">
        <f t="shared" ca="1" si="108"/>
        <v>-62156.702546999979</v>
      </c>
      <c r="BR40" s="10">
        <f t="shared" si="12"/>
        <v>9.9166666666666661</v>
      </c>
      <c r="BS40" s="311"/>
      <c r="BT40" s="307"/>
      <c r="BU40" s="295">
        <f t="shared" si="13"/>
        <v>0</v>
      </c>
      <c r="BV40" s="323"/>
      <c r="BW40" s="299">
        <f t="shared" si="14"/>
        <v>0</v>
      </c>
      <c r="BX40" s="295">
        <f t="shared" si="15"/>
        <v>0</v>
      </c>
      <c r="BY40" s="382"/>
      <c r="BZ40" s="299">
        <f t="shared" si="30"/>
        <v>0</v>
      </c>
      <c r="CA40" s="295">
        <f t="shared" si="42"/>
        <v>0</v>
      </c>
      <c r="CB40" s="323"/>
      <c r="CC40" s="314">
        <f t="shared" si="76"/>
        <v>0</v>
      </c>
      <c r="CD40" s="326"/>
      <c r="CE40" s="299">
        <f t="shared" si="17"/>
        <v>0</v>
      </c>
      <c r="CF40" s="284">
        <f t="shared" si="77"/>
        <v>0</v>
      </c>
      <c r="CG40" s="323"/>
      <c r="CH40" s="302">
        <f t="shared" si="58"/>
        <v>0</v>
      </c>
      <c r="CI40" s="108">
        <f t="shared" si="19"/>
        <v>0</v>
      </c>
      <c r="CJ40" s="200">
        <f t="shared" si="20"/>
        <v>0</v>
      </c>
      <c r="CK40" s="197">
        <f t="shared" si="51"/>
        <v>0</v>
      </c>
      <c r="CL40" s="203">
        <f t="shared" si="21"/>
        <v>12</v>
      </c>
      <c r="CM40" s="4">
        <f>U40*Jahresdaten!$AD$2</f>
        <v>0</v>
      </c>
      <c r="CN40" s="112">
        <f>CJ40*Jahresdaten!$AD$2</f>
        <v>0</v>
      </c>
      <c r="CO40" s="366"/>
      <c r="CP40" s="116">
        <f>U40*Jahresdaten!$AD$3</f>
        <v>0</v>
      </c>
      <c r="CQ40" s="12">
        <f>CJ40*Jahresdaten!$AD$3</f>
        <v>0</v>
      </c>
      <c r="CR40" s="353"/>
      <c r="CS40" s="14"/>
      <c r="CT40" s="136"/>
      <c r="CU40" s="140" t="str">
        <f>IF(CT40=0,"",CT40*'Vergleich Holz Strom'!$B$2)</f>
        <v/>
      </c>
      <c r="CV40" s="353"/>
      <c r="CW40" s="366"/>
      <c r="CX40" s="345"/>
      <c r="CY40" s="345"/>
      <c r="CZ40" s="345"/>
      <c r="DA40" s="348"/>
      <c r="DB40" s="94"/>
      <c r="DC40" s="88">
        <f t="shared" si="53"/>
        <v>4798.7613333333338</v>
      </c>
      <c r="DD40" s="94"/>
      <c r="DE40" s="88">
        <f t="shared" si="56"/>
        <v>-2970.1125469999997</v>
      </c>
      <c r="DF40" s="100" t="e">
        <f ca="1">BE40+(SUM(CS38:CS49)/12)</f>
        <v>#N/A</v>
      </c>
      <c r="DG40" s="351"/>
      <c r="DH40" s="8">
        <f t="shared" si="112"/>
        <v>0</v>
      </c>
      <c r="DI40" s="123">
        <f t="shared" si="109"/>
        <v>5300</v>
      </c>
      <c r="DJ40" s="2">
        <f t="shared" si="113"/>
        <v>0</v>
      </c>
      <c r="DK40" s="127">
        <f>DK49/12*3</f>
        <v>1950</v>
      </c>
      <c r="DL40" s="2">
        <f t="shared" si="114"/>
        <v>650</v>
      </c>
      <c r="DM40" s="130">
        <f t="shared" si="115"/>
        <v>0</v>
      </c>
      <c r="DN40" s="3">
        <f>DN49/12*3</f>
        <v>750</v>
      </c>
      <c r="DO40" s="130">
        <f t="shared" si="116"/>
        <v>250</v>
      </c>
      <c r="DP40" s="4">
        <f t="shared" si="117"/>
        <v>0</v>
      </c>
      <c r="DQ40" s="116">
        <f t="shared" si="118"/>
        <v>2600</v>
      </c>
      <c r="DR40" s="116">
        <f t="shared" ref="DR40:DR48" si="120">DR28</f>
        <v>850.00000000000011</v>
      </c>
    </row>
    <row r="41" spans="1:122" ht="14.25" customHeight="1" thickBot="1" x14ac:dyDescent="0.2">
      <c r="A41" s="416"/>
      <c r="B41" s="16">
        <v>44562</v>
      </c>
      <c r="C41" s="207">
        <f>'PV-Felder'!$I$2</f>
        <v>660.80000000000007</v>
      </c>
      <c r="D41" s="351"/>
      <c r="E41" s="61">
        <v>0</v>
      </c>
      <c r="F41" s="351"/>
      <c r="G41" s="56" t="e">
        <f t="shared" ca="1" si="0"/>
        <v>#N/A</v>
      </c>
      <c r="H41" s="351"/>
      <c r="I41" s="61">
        <v>0</v>
      </c>
      <c r="J41" s="351"/>
      <c r="K41" s="61">
        <v>0</v>
      </c>
      <c r="L41" s="351"/>
      <c r="M41" s="65">
        <f t="shared" si="1"/>
        <v>0</v>
      </c>
      <c r="N41" s="373"/>
      <c r="O41" s="288"/>
      <c r="P41" s="288"/>
      <c r="Q41" s="286">
        <f t="shared" si="2"/>
        <v>0</v>
      </c>
      <c r="R41" s="334"/>
      <c r="S41" s="61">
        <v>0</v>
      </c>
      <c r="T41" s="376"/>
      <c r="U41" s="61">
        <v>0</v>
      </c>
      <c r="V41" s="342"/>
      <c r="W41" s="61">
        <v>0</v>
      </c>
      <c r="X41" s="342"/>
      <c r="Y41" s="211" t="e">
        <f t="shared" si="106"/>
        <v>#N/A</v>
      </c>
      <c r="Z41" s="370"/>
      <c r="AA41" s="61">
        <v>0</v>
      </c>
      <c r="AB41" s="351"/>
      <c r="AC41" s="61">
        <v>0</v>
      </c>
      <c r="AD41" s="351"/>
      <c r="AE41" s="73" t="e">
        <f t="shared" si="38"/>
        <v>#N/A</v>
      </c>
      <c r="AF41" s="356"/>
      <c r="AG41" s="73" t="e">
        <f t="shared" si="3"/>
        <v>#N/A</v>
      </c>
      <c r="AH41" s="356"/>
      <c r="AI41" s="221">
        <f t="shared" si="119"/>
        <v>29.26</v>
      </c>
      <c r="AJ41" s="78">
        <f t="shared" ref="AJ41:AP41" si="121">AJ40</f>
        <v>0.26750000000000002</v>
      </c>
      <c r="AK41" s="79">
        <f t="shared" si="121"/>
        <v>9.9166666666666661</v>
      </c>
      <c r="AL41" s="80">
        <f t="shared" si="121"/>
        <v>187</v>
      </c>
      <c r="AM41" s="78">
        <f t="shared" si="121"/>
        <v>9.737942583732058E-2</v>
      </c>
      <c r="AN41" s="80">
        <f t="shared" si="55"/>
        <v>143</v>
      </c>
      <c r="AO41" s="78">
        <f t="shared" si="121"/>
        <v>0.21099999999999999</v>
      </c>
      <c r="AP41" s="88">
        <f t="shared" si="121"/>
        <v>12</v>
      </c>
      <c r="AQ41" s="64">
        <f t="shared" si="47"/>
        <v>21.5</v>
      </c>
      <c r="AR41" s="64">
        <f t="shared" si="48"/>
        <v>11.5</v>
      </c>
      <c r="AS41" s="88">
        <f t="shared" si="50"/>
        <v>1.1830000000000001</v>
      </c>
      <c r="AT41" s="91">
        <f t="shared" si="89"/>
        <v>283</v>
      </c>
      <c r="AU41" s="94"/>
      <c r="AV41" s="95"/>
      <c r="AW41" s="56">
        <f t="shared" si="4"/>
        <v>0</v>
      </c>
      <c r="AX41" s="351"/>
      <c r="AY41" s="100">
        <f t="shared" si="52"/>
        <v>9.9166666666666661</v>
      </c>
      <c r="AZ41" s="360"/>
      <c r="BA41" s="91">
        <f t="shared" si="111"/>
        <v>-321.94588033333338</v>
      </c>
      <c r="BB41" s="5">
        <f t="shared" si="5"/>
        <v>-9.9166666666666661</v>
      </c>
      <c r="BC41" s="363"/>
      <c r="BD41" s="91" t="e">
        <f t="shared" ca="1" si="6"/>
        <v>#N/A</v>
      </c>
      <c r="BE41" s="91" t="e">
        <f t="shared" ca="1" si="7"/>
        <v>#N/A</v>
      </c>
      <c r="BF41" s="91">
        <f t="shared" si="8"/>
        <v>31.833333333333329</v>
      </c>
      <c r="BG41" s="91" t="e">
        <f t="shared" ca="1" si="9"/>
        <v>#N/A</v>
      </c>
      <c r="BH41" s="91" t="e">
        <f t="shared" ca="1" si="61"/>
        <v>#N/A</v>
      </c>
      <c r="BI41" s="10" t="e">
        <f t="shared" ca="1" si="40"/>
        <v>#N/A</v>
      </c>
      <c r="BJ41" s="104">
        <f>((M41+Q41)*AJ41+AK41)+((U41-W41+W41/('Vergleich Holz Strom'!$B$8-0.6))*AO41+AP41)</f>
        <v>21.916666666666664</v>
      </c>
      <c r="BK41" s="10" t="e">
        <f t="shared" ca="1" si="11"/>
        <v>#N/A</v>
      </c>
      <c r="BL41" s="379"/>
      <c r="BM41" s="104" t="e">
        <f t="shared" ca="1" si="27"/>
        <v>#N/A</v>
      </c>
      <c r="BN41" s="40" t="e">
        <f ca="1">IF(ISNUMBER(BK41),BN40+SUMIF(BK38:BK49,"&lt;&gt;#NV",BK38:BK49)/COUNTIF(BK38:BK49,"&lt;&gt;#NV"),#N/A)</f>
        <v>#N/A</v>
      </c>
      <c r="BO41" s="10" t="e">
        <f t="shared" ca="1" si="104"/>
        <v>#N/A</v>
      </c>
      <c r="BP41" s="104" t="e">
        <f t="shared" ca="1" si="29"/>
        <v>#N/A</v>
      </c>
      <c r="BQ41" s="104">
        <f t="shared" ca="1" si="108"/>
        <v>-62144.702546999979</v>
      </c>
      <c r="BR41" s="10">
        <f t="shared" si="12"/>
        <v>9.9166666666666661</v>
      </c>
      <c r="BS41" s="311"/>
      <c r="BT41" s="307"/>
      <c r="BU41" s="295">
        <f t="shared" si="13"/>
        <v>0</v>
      </c>
      <c r="BV41" s="323"/>
      <c r="BW41" s="299">
        <f t="shared" si="14"/>
        <v>0</v>
      </c>
      <c r="BX41" s="295">
        <f t="shared" si="15"/>
        <v>0</v>
      </c>
      <c r="BY41" s="382"/>
      <c r="BZ41" s="299">
        <f t="shared" si="30"/>
        <v>0</v>
      </c>
      <c r="CA41" s="295">
        <f t="shared" si="42"/>
        <v>0</v>
      </c>
      <c r="CB41" s="323"/>
      <c r="CC41" s="314">
        <f t="shared" si="76"/>
        <v>0</v>
      </c>
      <c r="CD41" s="326"/>
      <c r="CE41" s="299">
        <f t="shared" si="17"/>
        <v>0</v>
      </c>
      <c r="CF41" s="284">
        <f t="shared" si="77"/>
        <v>0</v>
      </c>
      <c r="CG41" s="323"/>
      <c r="CH41" s="302">
        <f t="shared" si="58"/>
        <v>0</v>
      </c>
      <c r="CI41" s="108">
        <f t="shared" si="19"/>
        <v>0</v>
      </c>
      <c r="CJ41" s="200">
        <f t="shared" si="20"/>
        <v>0</v>
      </c>
      <c r="CK41" s="197">
        <f t="shared" si="51"/>
        <v>0</v>
      </c>
      <c r="CL41" s="203">
        <f t="shared" si="21"/>
        <v>12</v>
      </c>
      <c r="CM41" s="4">
        <f>U41*Jahresdaten!$AD$2</f>
        <v>0</v>
      </c>
      <c r="CN41" s="112">
        <f>CJ41*Jahresdaten!$AD$2</f>
        <v>0</v>
      </c>
      <c r="CO41" s="366"/>
      <c r="CP41" s="116">
        <f>U41*Jahresdaten!$AD$3</f>
        <v>0</v>
      </c>
      <c r="CQ41" s="12">
        <f>CJ41*Jahresdaten!$AD$3</f>
        <v>0</v>
      </c>
      <c r="CR41" s="353"/>
      <c r="CS41" s="14"/>
      <c r="CT41" s="136"/>
      <c r="CU41" s="140" t="str">
        <f>IF(CT41=0,"",CT41*'Vergleich Holz Strom'!$B$2)</f>
        <v/>
      </c>
      <c r="CV41" s="353"/>
      <c r="CW41" s="366"/>
      <c r="CX41" s="345"/>
      <c r="CY41" s="345"/>
      <c r="CZ41" s="345"/>
      <c r="DA41" s="348"/>
      <c r="DB41" s="94"/>
      <c r="DC41" s="88">
        <f t="shared" si="53"/>
        <v>4975.8446666666669</v>
      </c>
      <c r="DD41" s="94"/>
      <c r="DE41" s="88">
        <f t="shared" si="56"/>
        <v>-3113.1125469999997</v>
      </c>
      <c r="DF41" s="100" t="e">
        <f ca="1">BE41+(SUM(CS38:CS49)/12)</f>
        <v>#N/A</v>
      </c>
      <c r="DG41" s="351"/>
      <c r="DH41" s="8">
        <f t="shared" si="112"/>
        <v>0</v>
      </c>
      <c r="DI41" s="123">
        <f t="shared" si="109"/>
        <v>7350</v>
      </c>
      <c r="DJ41" s="2">
        <f t="shared" si="113"/>
        <v>0</v>
      </c>
      <c r="DK41" s="127">
        <f>DK49/12*4</f>
        <v>2600</v>
      </c>
      <c r="DL41" s="2">
        <f t="shared" si="114"/>
        <v>650</v>
      </c>
      <c r="DM41" s="130">
        <f t="shared" si="115"/>
        <v>0</v>
      </c>
      <c r="DN41" s="3">
        <f>DN49/12*4</f>
        <v>1000</v>
      </c>
      <c r="DO41" s="130">
        <f t="shared" si="116"/>
        <v>250</v>
      </c>
      <c r="DP41" s="4">
        <f t="shared" si="117"/>
        <v>0</v>
      </c>
      <c r="DQ41" s="116">
        <f t="shared" si="118"/>
        <v>3750</v>
      </c>
      <c r="DR41" s="116">
        <f t="shared" si="120"/>
        <v>1150</v>
      </c>
    </row>
    <row r="42" spans="1:122" ht="14.25" customHeight="1" thickBot="1" x14ac:dyDescent="0.2">
      <c r="A42" s="416"/>
      <c r="B42" s="16">
        <v>44593</v>
      </c>
      <c r="C42" s="207">
        <f>'PV-Felder'!$I$3</f>
        <v>922.2</v>
      </c>
      <c r="D42" s="351"/>
      <c r="E42" s="61">
        <v>0</v>
      </c>
      <c r="F42" s="351"/>
      <c r="G42" s="56" t="e">
        <f t="shared" ca="1" si="0"/>
        <v>#N/A</v>
      </c>
      <c r="H42" s="351"/>
      <c r="I42" s="61">
        <v>0</v>
      </c>
      <c r="J42" s="351"/>
      <c r="K42" s="61">
        <v>0</v>
      </c>
      <c r="L42" s="351"/>
      <c r="M42" s="65">
        <f t="shared" si="1"/>
        <v>0</v>
      </c>
      <c r="N42" s="373"/>
      <c r="O42" s="288"/>
      <c r="P42" s="288"/>
      <c r="Q42" s="286">
        <f t="shared" si="2"/>
        <v>0</v>
      </c>
      <c r="R42" s="334"/>
      <c r="S42" s="61">
        <v>0</v>
      </c>
      <c r="T42" s="376"/>
      <c r="U42" s="61">
        <v>0</v>
      </c>
      <c r="V42" s="342"/>
      <c r="W42" s="61">
        <v>0</v>
      </c>
      <c r="X42" s="342"/>
      <c r="Y42" s="211" t="e">
        <f t="shared" si="106"/>
        <v>#N/A</v>
      </c>
      <c r="Z42" s="370"/>
      <c r="AA42" s="61">
        <v>0</v>
      </c>
      <c r="AB42" s="351"/>
      <c r="AC42" s="61">
        <v>0</v>
      </c>
      <c r="AD42" s="351"/>
      <c r="AE42" s="73" t="e">
        <f t="shared" si="38"/>
        <v>#N/A</v>
      </c>
      <c r="AF42" s="356"/>
      <c r="AG42" s="73" t="e">
        <f t="shared" si="3"/>
        <v>#N/A</v>
      </c>
      <c r="AH42" s="356"/>
      <c r="AI42" s="221">
        <f t="shared" si="119"/>
        <v>29.26</v>
      </c>
      <c r="AJ42" s="78">
        <f t="shared" ref="AJ42:AM44" si="122">AJ41</f>
        <v>0.26750000000000002</v>
      </c>
      <c r="AK42" s="79">
        <f t="shared" si="122"/>
        <v>9.9166666666666661</v>
      </c>
      <c r="AL42" s="80">
        <f t="shared" si="122"/>
        <v>187</v>
      </c>
      <c r="AM42" s="78">
        <f t="shared" si="122"/>
        <v>9.737942583732058E-2</v>
      </c>
      <c r="AN42" s="80">
        <f t="shared" si="55"/>
        <v>143</v>
      </c>
      <c r="AO42" s="78">
        <f t="shared" ref="AO42:AP44" si="123">AO41</f>
        <v>0.21099999999999999</v>
      </c>
      <c r="AP42" s="88">
        <f t="shared" si="123"/>
        <v>12</v>
      </c>
      <c r="AQ42" s="64">
        <f t="shared" si="47"/>
        <v>21.5</v>
      </c>
      <c r="AR42" s="64">
        <f t="shared" si="48"/>
        <v>11.5</v>
      </c>
      <c r="AS42" s="88">
        <f t="shared" si="50"/>
        <v>1.1830000000000001</v>
      </c>
      <c r="AT42" s="91">
        <f t="shared" si="89"/>
        <v>283</v>
      </c>
      <c r="AU42" s="94"/>
      <c r="AV42" s="95"/>
      <c r="AW42" s="56">
        <f t="shared" si="4"/>
        <v>0</v>
      </c>
      <c r="AX42" s="351"/>
      <c r="AY42" s="100">
        <f t="shared" si="52"/>
        <v>9.9166666666666661</v>
      </c>
      <c r="AZ42" s="360"/>
      <c r="BA42" s="91">
        <f t="shared" si="111"/>
        <v>-331.86254700000006</v>
      </c>
      <c r="BB42" s="5">
        <f t="shared" si="5"/>
        <v>-9.9166666666666661</v>
      </c>
      <c r="BC42" s="363"/>
      <c r="BD42" s="91" t="e">
        <f t="shared" ca="1" si="6"/>
        <v>#N/A</v>
      </c>
      <c r="BE42" s="91" t="e">
        <f t="shared" ca="1" si="7"/>
        <v>#N/A</v>
      </c>
      <c r="BF42" s="91">
        <f t="shared" si="8"/>
        <v>31.833333333333329</v>
      </c>
      <c r="BG42" s="91" t="e">
        <f t="shared" ca="1" si="9"/>
        <v>#N/A</v>
      </c>
      <c r="BH42" s="91" t="e">
        <f t="shared" ca="1" si="61"/>
        <v>#N/A</v>
      </c>
      <c r="BI42" s="10" t="e">
        <f t="shared" ca="1" si="40"/>
        <v>#N/A</v>
      </c>
      <c r="BJ42" s="104">
        <f>((M42+Q42)*AJ42+AK42)+((U42-W42+W42/('Vergleich Holz Strom'!$B$8-0.6))*AO42+AP42)</f>
        <v>21.916666666666664</v>
      </c>
      <c r="BK42" s="10" t="e">
        <f t="shared" ca="1" si="11"/>
        <v>#N/A</v>
      </c>
      <c r="BL42" s="379"/>
      <c r="BM42" s="104" t="e">
        <f t="shared" ca="1" si="27"/>
        <v>#N/A</v>
      </c>
      <c r="BN42" s="40" t="e">
        <f ca="1">IF(ISNUMBER(BK42),BN41+SUMIF(BK38:BK49,"&lt;&gt;#NV",BK38:BK49)/COUNTIF(BK38:BK49,"&lt;&gt;#NV"),#N/A)</f>
        <v>#N/A</v>
      </c>
      <c r="BO42" s="10" t="e">
        <f t="shared" ca="1" si="104"/>
        <v>#N/A</v>
      </c>
      <c r="BP42" s="104" t="e">
        <f t="shared" ca="1" si="29"/>
        <v>#N/A</v>
      </c>
      <c r="BQ42" s="104">
        <f t="shared" ca="1" si="108"/>
        <v>-62125.502546999982</v>
      </c>
      <c r="BR42" s="10">
        <f t="shared" si="12"/>
        <v>9.9166666666666661</v>
      </c>
      <c r="BS42" s="311"/>
      <c r="BT42" s="307"/>
      <c r="BU42" s="295">
        <f t="shared" si="13"/>
        <v>0</v>
      </c>
      <c r="BV42" s="323"/>
      <c r="BW42" s="299">
        <f t="shared" si="14"/>
        <v>0</v>
      </c>
      <c r="BX42" s="295">
        <f t="shared" si="15"/>
        <v>0</v>
      </c>
      <c r="BY42" s="382"/>
      <c r="BZ42" s="299">
        <f t="shared" si="30"/>
        <v>0</v>
      </c>
      <c r="CA42" s="295">
        <f t="shared" si="42"/>
        <v>0</v>
      </c>
      <c r="CB42" s="323"/>
      <c r="CC42" s="314">
        <f t="shared" si="76"/>
        <v>0</v>
      </c>
      <c r="CD42" s="326"/>
      <c r="CE42" s="299">
        <f t="shared" si="17"/>
        <v>0</v>
      </c>
      <c r="CF42" s="284">
        <f t="shared" si="77"/>
        <v>0</v>
      </c>
      <c r="CG42" s="323"/>
      <c r="CH42" s="302">
        <f t="shared" si="58"/>
        <v>0</v>
      </c>
      <c r="CI42" s="108">
        <f t="shared" si="19"/>
        <v>0</v>
      </c>
      <c r="CJ42" s="200">
        <f t="shared" si="20"/>
        <v>0</v>
      </c>
      <c r="CK42" s="197">
        <f t="shared" si="51"/>
        <v>0</v>
      </c>
      <c r="CL42" s="203">
        <f t="shared" si="21"/>
        <v>12</v>
      </c>
      <c r="CM42" s="4">
        <f>U42*Jahresdaten!$AD$2</f>
        <v>0</v>
      </c>
      <c r="CN42" s="112">
        <f>CJ42*Jahresdaten!$AD$2</f>
        <v>0</v>
      </c>
      <c r="CO42" s="366"/>
      <c r="CP42" s="116">
        <f>U42*Jahresdaten!$AD$3</f>
        <v>0</v>
      </c>
      <c r="CQ42" s="12">
        <f>CJ42*Jahresdaten!$AD$3</f>
        <v>0</v>
      </c>
      <c r="CR42" s="353"/>
      <c r="CS42" s="14"/>
      <c r="CT42" s="136"/>
      <c r="CU42" s="140" t="str">
        <f>IF(CT42=0,"",CT42*'Vergleich Holz Strom'!$B$2)</f>
        <v/>
      </c>
      <c r="CV42" s="353"/>
      <c r="CW42" s="366"/>
      <c r="CX42" s="345"/>
      <c r="CY42" s="345"/>
      <c r="CZ42" s="345"/>
      <c r="DA42" s="348"/>
      <c r="DB42" s="94"/>
      <c r="DC42" s="88">
        <f t="shared" si="53"/>
        <v>5152.9279999999999</v>
      </c>
      <c r="DD42" s="94"/>
      <c r="DE42" s="88">
        <f t="shared" si="56"/>
        <v>-3256.1125469999997</v>
      </c>
      <c r="DF42" s="100" t="e">
        <f ca="1">BE42+(SUM(CS38:CS49)/12)</f>
        <v>#N/A</v>
      </c>
      <c r="DG42" s="351"/>
      <c r="DH42" s="8">
        <f t="shared" si="112"/>
        <v>0</v>
      </c>
      <c r="DI42" s="123">
        <f t="shared" si="109"/>
        <v>9600</v>
      </c>
      <c r="DJ42" s="2">
        <f t="shared" si="113"/>
        <v>0</v>
      </c>
      <c r="DK42" s="127">
        <f>DK49/12*5</f>
        <v>3250</v>
      </c>
      <c r="DL42" s="2">
        <f t="shared" si="114"/>
        <v>650</v>
      </c>
      <c r="DM42" s="130">
        <f t="shared" si="115"/>
        <v>0</v>
      </c>
      <c r="DN42" s="3">
        <f>DN49/12*5</f>
        <v>1250</v>
      </c>
      <c r="DO42" s="130">
        <f t="shared" si="116"/>
        <v>250</v>
      </c>
      <c r="DP42" s="4">
        <f t="shared" si="117"/>
        <v>0</v>
      </c>
      <c r="DQ42" s="116">
        <f t="shared" si="118"/>
        <v>5100</v>
      </c>
      <c r="DR42" s="116">
        <f t="shared" si="120"/>
        <v>1350</v>
      </c>
    </row>
    <row r="43" spans="1:122" ht="14.25" customHeight="1" thickBot="1" x14ac:dyDescent="0.2">
      <c r="A43" s="416"/>
      <c r="B43" s="16">
        <v>44621</v>
      </c>
      <c r="C43" s="207">
        <f>'PV-Felder'!$I$4</f>
        <v>1860</v>
      </c>
      <c r="D43" s="351"/>
      <c r="E43" s="61">
        <v>0</v>
      </c>
      <c r="F43" s="351"/>
      <c r="G43" s="56" t="e">
        <f t="shared" ca="1" si="0"/>
        <v>#N/A</v>
      </c>
      <c r="H43" s="351"/>
      <c r="I43" s="61">
        <v>0</v>
      </c>
      <c r="J43" s="351"/>
      <c r="K43" s="61">
        <v>0</v>
      </c>
      <c r="L43" s="351"/>
      <c r="M43" s="65">
        <f t="shared" si="1"/>
        <v>0</v>
      </c>
      <c r="N43" s="373"/>
      <c r="O43" s="288"/>
      <c r="P43" s="288"/>
      <c r="Q43" s="286">
        <f t="shared" si="2"/>
        <v>0</v>
      </c>
      <c r="R43" s="334"/>
      <c r="S43" s="61">
        <v>0</v>
      </c>
      <c r="T43" s="376"/>
      <c r="U43" s="61">
        <v>0</v>
      </c>
      <c r="V43" s="342"/>
      <c r="W43" s="61">
        <v>0</v>
      </c>
      <c r="X43" s="342"/>
      <c r="Y43" s="211" t="e">
        <f t="shared" si="106"/>
        <v>#N/A</v>
      </c>
      <c r="Z43" s="370"/>
      <c r="AA43" s="61">
        <v>0</v>
      </c>
      <c r="AB43" s="351"/>
      <c r="AC43" s="61">
        <v>0</v>
      </c>
      <c r="AD43" s="351"/>
      <c r="AE43" s="73" t="e">
        <f t="shared" si="38"/>
        <v>#N/A</v>
      </c>
      <c r="AF43" s="356"/>
      <c r="AG43" s="73" t="e">
        <f t="shared" si="3"/>
        <v>#N/A</v>
      </c>
      <c r="AH43" s="356"/>
      <c r="AI43" s="221">
        <f t="shared" si="119"/>
        <v>29.26</v>
      </c>
      <c r="AJ43" s="78">
        <f t="shared" si="122"/>
        <v>0.26750000000000002</v>
      </c>
      <c r="AK43" s="79">
        <f t="shared" si="122"/>
        <v>9.9166666666666661</v>
      </c>
      <c r="AL43" s="80">
        <f t="shared" si="122"/>
        <v>187</v>
      </c>
      <c r="AM43" s="78">
        <f t="shared" si="122"/>
        <v>9.737942583732058E-2</v>
      </c>
      <c r="AN43" s="80">
        <f t="shared" si="55"/>
        <v>143</v>
      </c>
      <c r="AO43" s="78">
        <f t="shared" si="123"/>
        <v>0.21099999999999999</v>
      </c>
      <c r="AP43" s="88">
        <f t="shared" si="123"/>
        <v>12</v>
      </c>
      <c r="AQ43" s="64">
        <f t="shared" si="47"/>
        <v>21.5</v>
      </c>
      <c r="AR43" s="64">
        <f t="shared" si="48"/>
        <v>11.5</v>
      </c>
      <c r="AS43" s="88">
        <f t="shared" si="50"/>
        <v>1.1830000000000001</v>
      </c>
      <c r="AT43" s="91">
        <f t="shared" si="89"/>
        <v>283</v>
      </c>
      <c r="AU43" s="94"/>
      <c r="AV43" s="95"/>
      <c r="AW43" s="56">
        <f t="shared" si="4"/>
        <v>0</v>
      </c>
      <c r="AX43" s="351"/>
      <c r="AY43" s="100">
        <f t="shared" si="52"/>
        <v>9.9166666666666661</v>
      </c>
      <c r="AZ43" s="360"/>
      <c r="BA43" s="91">
        <f t="shared" si="111"/>
        <v>-341.77921366666675</v>
      </c>
      <c r="BB43" s="5">
        <f t="shared" si="5"/>
        <v>-9.9166666666666661</v>
      </c>
      <c r="BC43" s="363"/>
      <c r="BD43" s="91" t="e">
        <f t="shared" ca="1" si="6"/>
        <v>#N/A</v>
      </c>
      <c r="BE43" s="91" t="e">
        <f t="shared" ca="1" si="7"/>
        <v>#N/A</v>
      </c>
      <c r="BF43" s="91">
        <f t="shared" si="8"/>
        <v>31.833333333333329</v>
      </c>
      <c r="BG43" s="91" t="e">
        <f t="shared" ca="1" si="9"/>
        <v>#N/A</v>
      </c>
      <c r="BH43" s="91" t="e">
        <f t="shared" ca="1" si="61"/>
        <v>#N/A</v>
      </c>
      <c r="BI43" s="10" t="e">
        <f t="shared" ca="1" si="40"/>
        <v>#N/A</v>
      </c>
      <c r="BJ43" s="104">
        <f>((M43+Q43)*AJ43+AK43)+((U43-W43+W43/('Vergleich Holz Strom'!$B$8-0.6))*AO43+AP43)</f>
        <v>21.916666666666664</v>
      </c>
      <c r="BK43" s="10" t="e">
        <f t="shared" ca="1" si="11"/>
        <v>#N/A</v>
      </c>
      <c r="BL43" s="379"/>
      <c r="BM43" s="104" t="e">
        <f t="shared" ca="1" si="27"/>
        <v>#N/A</v>
      </c>
      <c r="BN43" s="40" t="e">
        <f ca="1">IF(ISNUMBER(BK43),BN42+SUMIF(BK38:BK49,"&lt;&gt;#NV",BK38:BK49)/COUNTIF(BK38:BK49,"&lt;&gt;#NV"),#N/A)</f>
        <v>#N/A</v>
      </c>
      <c r="BO43" s="10" t="e">
        <f t="shared" ca="1" si="104"/>
        <v>#N/A</v>
      </c>
      <c r="BP43" s="104" t="e">
        <f t="shared" ca="1" si="29"/>
        <v>#N/A</v>
      </c>
      <c r="BQ43" s="104">
        <f t="shared" ca="1" si="108"/>
        <v>-62106.302546999985</v>
      </c>
      <c r="BR43" s="10">
        <f t="shared" si="12"/>
        <v>9.9166666666666661</v>
      </c>
      <c r="BS43" s="311"/>
      <c r="BT43" s="307"/>
      <c r="BU43" s="295">
        <f t="shared" si="13"/>
        <v>0</v>
      </c>
      <c r="BV43" s="323"/>
      <c r="BW43" s="299">
        <f t="shared" si="14"/>
        <v>0</v>
      </c>
      <c r="BX43" s="295">
        <f t="shared" si="15"/>
        <v>0</v>
      </c>
      <c r="BY43" s="382"/>
      <c r="BZ43" s="299">
        <f t="shared" si="30"/>
        <v>0</v>
      </c>
      <c r="CA43" s="295">
        <f t="shared" si="42"/>
        <v>0</v>
      </c>
      <c r="CB43" s="323"/>
      <c r="CC43" s="314">
        <f t="shared" si="76"/>
        <v>0</v>
      </c>
      <c r="CD43" s="326"/>
      <c r="CE43" s="299">
        <f t="shared" si="17"/>
        <v>0</v>
      </c>
      <c r="CF43" s="284">
        <f t="shared" si="77"/>
        <v>0</v>
      </c>
      <c r="CG43" s="323"/>
      <c r="CH43" s="302">
        <f t="shared" si="58"/>
        <v>0</v>
      </c>
      <c r="CI43" s="108">
        <f t="shared" si="19"/>
        <v>0</v>
      </c>
      <c r="CJ43" s="200">
        <f t="shared" si="20"/>
        <v>0</v>
      </c>
      <c r="CK43" s="197">
        <f t="shared" si="51"/>
        <v>0</v>
      </c>
      <c r="CL43" s="203">
        <f t="shared" si="21"/>
        <v>12</v>
      </c>
      <c r="CM43" s="4">
        <f>U43*Jahresdaten!$AD$2</f>
        <v>0</v>
      </c>
      <c r="CN43" s="112">
        <f>CJ43*Jahresdaten!$AD$2</f>
        <v>0</v>
      </c>
      <c r="CO43" s="366"/>
      <c r="CP43" s="116">
        <f>U43*Jahresdaten!$AD$3</f>
        <v>0</v>
      </c>
      <c r="CQ43" s="12">
        <f>CJ43*Jahresdaten!$AD$3</f>
        <v>0</v>
      </c>
      <c r="CR43" s="353"/>
      <c r="CS43" s="14"/>
      <c r="CT43" s="136"/>
      <c r="CU43" s="140" t="str">
        <f>IF(CT43=0,"",CT43*'Vergleich Holz Strom'!$B$2)</f>
        <v/>
      </c>
      <c r="CV43" s="353"/>
      <c r="CW43" s="366"/>
      <c r="CX43" s="345"/>
      <c r="CY43" s="345"/>
      <c r="CZ43" s="345"/>
      <c r="DA43" s="348"/>
      <c r="DB43" s="94"/>
      <c r="DC43" s="88">
        <f t="shared" si="53"/>
        <v>5330.0113333333329</v>
      </c>
      <c r="DD43" s="94"/>
      <c r="DE43" s="88">
        <f t="shared" si="56"/>
        <v>-3399.1125469999997</v>
      </c>
      <c r="DF43" s="100" t="e">
        <f ca="1">BE43+(SUM(CS38:CS49)/12)</f>
        <v>#N/A</v>
      </c>
      <c r="DG43" s="351"/>
      <c r="DH43" s="8">
        <f t="shared" si="112"/>
        <v>0</v>
      </c>
      <c r="DI43" s="123">
        <f t="shared" si="109"/>
        <v>11850</v>
      </c>
      <c r="DJ43" s="2">
        <f t="shared" si="113"/>
        <v>0</v>
      </c>
      <c r="DK43" s="127">
        <f>DK49/12*6</f>
        <v>3900</v>
      </c>
      <c r="DL43" s="2">
        <f t="shared" si="114"/>
        <v>650</v>
      </c>
      <c r="DM43" s="130">
        <f t="shared" si="115"/>
        <v>0</v>
      </c>
      <c r="DN43" s="3">
        <f>DN49/12*6</f>
        <v>1500</v>
      </c>
      <c r="DO43" s="130">
        <f t="shared" si="116"/>
        <v>250</v>
      </c>
      <c r="DP43" s="4">
        <f t="shared" si="117"/>
        <v>0</v>
      </c>
      <c r="DQ43" s="116">
        <f t="shared" si="118"/>
        <v>6450</v>
      </c>
      <c r="DR43" s="116">
        <f t="shared" si="120"/>
        <v>1350</v>
      </c>
    </row>
    <row r="44" spans="1:122" ht="15" customHeight="1" thickBot="1" x14ac:dyDescent="0.2">
      <c r="A44" s="416"/>
      <c r="B44" s="16">
        <v>44652</v>
      </c>
      <c r="C44" s="207">
        <f>'PV-Felder'!$I$5</f>
        <v>2887.3</v>
      </c>
      <c r="D44" s="351"/>
      <c r="E44" s="61">
        <v>0</v>
      </c>
      <c r="F44" s="351"/>
      <c r="G44" s="56" t="e">
        <f t="shared" ca="1" si="0"/>
        <v>#N/A</v>
      </c>
      <c r="H44" s="351"/>
      <c r="I44" s="61">
        <v>0</v>
      </c>
      <c r="J44" s="351"/>
      <c r="K44" s="61">
        <v>0</v>
      </c>
      <c r="L44" s="351"/>
      <c r="M44" s="65">
        <f t="shared" si="1"/>
        <v>0</v>
      </c>
      <c r="N44" s="373"/>
      <c r="O44" s="288"/>
      <c r="P44" s="288"/>
      <c r="Q44" s="286">
        <f t="shared" si="2"/>
        <v>0</v>
      </c>
      <c r="R44" s="334"/>
      <c r="S44" s="61">
        <v>0</v>
      </c>
      <c r="T44" s="376"/>
      <c r="U44" s="61">
        <v>0</v>
      </c>
      <c r="V44" s="342"/>
      <c r="W44" s="61">
        <v>0</v>
      </c>
      <c r="X44" s="342"/>
      <c r="Y44" s="211" t="e">
        <f t="shared" si="106"/>
        <v>#N/A</v>
      </c>
      <c r="Z44" s="370"/>
      <c r="AA44" s="61">
        <v>0</v>
      </c>
      <c r="AB44" s="351"/>
      <c r="AC44" s="61">
        <v>0</v>
      </c>
      <c r="AD44" s="351"/>
      <c r="AE44" s="73" t="e">
        <f t="shared" si="38"/>
        <v>#N/A</v>
      </c>
      <c r="AF44" s="356"/>
      <c r="AG44" s="73" t="e">
        <f t="shared" si="3"/>
        <v>#N/A</v>
      </c>
      <c r="AH44" s="356"/>
      <c r="AI44" s="221">
        <f t="shared" si="119"/>
        <v>29.26</v>
      </c>
      <c r="AJ44" s="78">
        <f t="shared" si="122"/>
        <v>0.26750000000000002</v>
      </c>
      <c r="AK44" s="79">
        <f t="shared" si="122"/>
        <v>9.9166666666666661</v>
      </c>
      <c r="AL44" s="80">
        <f t="shared" si="122"/>
        <v>187</v>
      </c>
      <c r="AM44" s="78">
        <f t="shared" si="122"/>
        <v>9.737942583732058E-2</v>
      </c>
      <c r="AN44" s="80">
        <f t="shared" si="55"/>
        <v>143</v>
      </c>
      <c r="AO44" s="78">
        <f t="shared" si="123"/>
        <v>0.21099999999999999</v>
      </c>
      <c r="AP44" s="88">
        <f t="shared" si="123"/>
        <v>12</v>
      </c>
      <c r="AQ44" s="64">
        <f t="shared" si="47"/>
        <v>21.5</v>
      </c>
      <c r="AR44" s="64">
        <f t="shared" si="48"/>
        <v>11.5</v>
      </c>
      <c r="AS44" s="88">
        <f t="shared" si="50"/>
        <v>1.1830000000000001</v>
      </c>
      <c r="AT44" s="91">
        <f t="shared" si="89"/>
        <v>283</v>
      </c>
      <c r="AU44" s="94"/>
      <c r="AV44" s="95"/>
      <c r="AW44" s="56">
        <f t="shared" si="4"/>
        <v>0</v>
      </c>
      <c r="AX44" s="351"/>
      <c r="AY44" s="100">
        <f t="shared" si="52"/>
        <v>9.9166666666666661</v>
      </c>
      <c r="AZ44" s="360"/>
      <c r="BA44" s="91">
        <f t="shared" si="111"/>
        <v>-351.69588033333343</v>
      </c>
      <c r="BB44" s="5">
        <f t="shared" si="5"/>
        <v>-9.9166666666666661</v>
      </c>
      <c r="BC44" s="363"/>
      <c r="BD44" s="91" t="e">
        <f t="shared" ca="1" si="6"/>
        <v>#N/A</v>
      </c>
      <c r="BE44" s="91" t="e">
        <f t="shared" ca="1" si="7"/>
        <v>#N/A</v>
      </c>
      <c r="BF44" s="91">
        <f t="shared" si="8"/>
        <v>31.833333333333329</v>
      </c>
      <c r="BG44" s="91" t="e">
        <f t="shared" ca="1" si="9"/>
        <v>#N/A</v>
      </c>
      <c r="BH44" s="91" t="e">
        <f t="shared" ca="1" si="61"/>
        <v>#N/A</v>
      </c>
      <c r="BI44" s="10" t="e">
        <f t="shared" ca="1" si="40"/>
        <v>#N/A</v>
      </c>
      <c r="BJ44" s="104">
        <f>((M44+Q44)*AJ44+AK44)+((U44-W44+W44/('Vergleich Holz Strom'!$B$8-0.6))*AO44+AP44)</f>
        <v>21.916666666666664</v>
      </c>
      <c r="BK44" s="10" t="e">
        <f t="shared" ca="1" si="11"/>
        <v>#N/A</v>
      </c>
      <c r="BL44" s="379"/>
      <c r="BM44" s="104" t="e">
        <f t="shared" ca="1" si="27"/>
        <v>#N/A</v>
      </c>
      <c r="BN44" s="40" t="e">
        <f ca="1">IF(ISNUMBER(BK44),BN43+SUMIF(BK38:BK49,"&lt;&gt;#NV",BK38:BK49)/COUNTIF(BK38:BK49,"&lt;&gt;#NV"),#N/A)</f>
        <v>#N/A</v>
      </c>
      <c r="BO44" s="10" t="e">
        <f t="shared" ca="1" si="104"/>
        <v>#N/A</v>
      </c>
      <c r="BP44" s="104" t="e">
        <f t="shared" ca="1" si="29"/>
        <v>#N/A</v>
      </c>
      <c r="BQ44" s="104">
        <f t="shared" ca="1" si="108"/>
        <v>-62087.102546999959</v>
      </c>
      <c r="BR44" s="10">
        <f t="shared" si="12"/>
        <v>9.9166666666666661</v>
      </c>
      <c r="BS44" s="311"/>
      <c r="BT44" s="307"/>
      <c r="BU44" s="295">
        <f t="shared" si="13"/>
        <v>0</v>
      </c>
      <c r="BV44" s="323"/>
      <c r="BW44" s="299">
        <f t="shared" si="14"/>
        <v>0</v>
      </c>
      <c r="BX44" s="295">
        <f t="shared" si="15"/>
        <v>0</v>
      </c>
      <c r="BY44" s="382"/>
      <c r="BZ44" s="299">
        <f t="shared" si="30"/>
        <v>0</v>
      </c>
      <c r="CA44" s="295">
        <f t="shared" si="42"/>
        <v>0</v>
      </c>
      <c r="CB44" s="323"/>
      <c r="CC44" s="314">
        <f t="shared" si="76"/>
        <v>0</v>
      </c>
      <c r="CD44" s="326"/>
      <c r="CE44" s="299">
        <f t="shared" si="17"/>
        <v>0</v>
      </c>
      <c r="CF44" s="284">
        <f t="shared" si="77"/>
        <v>0</v>
      </c>
      <c r="CG44" s="323"/>
      <c r="CH44" s="302">
        <f t="shared" si="58"/>
        <v>0</v>
      </c>
      <c r="CI44" s="108">
        <f t="shared" si="19"/>
        <v>0</v>
      </c>
      <c r="CJ44" s="200">
        <f t="shared" si="20"/>
        <v>0</v>
      </c>
      <c r="CK44" s="197">
        <f t="shared" si="51"/>
        <v>0</v>
      </c>
      <c r="CL44" s="203">
        <f t="shared" si="21"/>
        <v>12</v>
      </c>
      <c r="CM44" s="4">
        <f>U44*Jahresdaten!$AD$2</f>
        <v>0</v>
      </c>
      <c r="CN44" s="112">
        <f>CJ44*Jahresdaten!$AD$2</f>
        <v>0</v>
      </c>
      <c r="CO44" s="366"/>
      <c r="CP44" s="116">
        <f>U44*Jahresdaten!$AD$3</f>
        <v>0</v>
      </c>
      <c r="CQ44" s="12">
        <f>CJ44*Jahresdaten!$AD$3</f>
        <v>0</v>
      </c>
      <c r="CR44" s="353"/>
      <c r="CS44" s="14"/>
      <c r="CT44" s="136"/>
      <c r="CU44" s="140" t="str">
        <f>IF(CT44=0,"",CT44*'Vergleich Holz Strom'!$B$2)</f>
        <v/>
      </c>
      <c r="CV44" s="121" t="s">
        <v>6</v>
      </c>
      <c r="CW44" s="366"/>
      <c r="CX44" s="345"/>
      <c r="CY44" s="345"/>
      <c r="CZ44" s="345"/>
      <c r="DA44" s="348"/>
      <c r="DB44" s="94"/>
      <c r="DC44" s="88">
        <f t="shared" si="53"/>
        <v>5507.0946666666659</v>
      </c>
      <c r="DD44" s="94"/>
      <c r="DE44" s="88">
        <f t="shared" si="56"/>
        <v>-3542.1125469999997</v>
      </c>
      <c r="DF44" s="100" t="e">
        <f ca="1">BE44+(SUM(CS38:CS49)/12)</f>
        <v>#N/A</v>
      </c>
      <c r="DG44" s="351"/>
      <c r="DH44" s="8">
        <f t="shared" si="112"/>
        <v>0</v>
      </c>
      <c r="DI44" s="123">
        <f t="shared" si="109"/>
        <v>14000</v>
      </c>
      <c r="DJ44" s="2">
        <f t="shared" si="113"/>
        <v>0</v>
      </c>
      <c r="DK44" s="127">
        <f>DK49/12*7</f>
        <v>4550</v>
      </c>
      <c r="DL44" s="2">
        <f t="shared" si="114"/>
        <v>650</v>
      </c>
      <c r="DM44" s="130">
        <f t="shared" si="115"/>
        <v>0</v>
      </c>
      <c r="DN44" s="3">
        <f>DN49/12*7</f>
        <v>1750</v>
      </c>
      <c r="DO44" s="130">
        <f t="shared" si="116"/>
        <v>250</v>
      </c>
      <c r="DP44" s="4">
        <f t="shared" si="117"/>
        <v>0</v>
      </c>
      <c r="DQ44" s="116">
        <f t="shared" si="118"/>
        <v>7700</v>
      </c>
      <c r="DR44" s="116">
        <f t="shared" si="120"/>
        <v>1250</v>
      </c>
    </row>
    <row r="45" spans="1:122" ht="14.25" customHeight="1" thickBot="1" x14ac:dyDescent="0.2">
      <c r="A45" s="416"/>
      <c r="B45" s="16">
        <v>44682</v>
      </c>
      <c r="C45" s="207">
        <f>'PV-Felder'!$I$6</f>
        <v>3391.3999999999996</v>
      </c>
      <c r="D45" s="351"/>
      <c r="E45" s="61">
        <v>0</v>
      </c>
      <c r="F45" s="351"/>
      <c r="G45" s="56" t="e">
        <f t="shared" ca="1" si="0"/>
        <v>#N/A</v>
      </c>
      <c r="H45" s="351"/>
      <c r="I45" s="61">
        <v>0</v>
      </c>
      <c r="J45" s="351"/>
      <c r="K45" s="61">
        <v>0</v>
      </c>
      <c r="L45" s="351"/>
      <c r="M45" s="65">
        <f t="shared" si="1"/>
        <v>0</v>
      </c>
      <c r="N45" s="373"/>
      <c r="O45" s="288"/>
      <c r="P45" s="288"/>
      <c r="Q45" s="286">
        <f t="shared" si="2"/>
        <v>0</v>
      </c>
      <c r="R45" s="334"/>
      <c r="S45" s="61">
        <v>0</v>
      </c>
      <c r="T45" s="376"/>
      <c r="U45" s="61">
        <v>0</v>
      </c>
      <c r="V45" s="342"/>
      <c r="W45" s="61">
        <v>0</v>
      </c>
      <c r="X45" s="342"/>
      <c r="Y45" s="211" t="e">
        <f t="shared" si="106"/>
        <v>#N/A</v>
      </c>
      <c r="Z45" s="370"/>
      <c r="AA45" s="61">
        <v>0</v>
      </c>
      <c r="AB45" s="351"/>
      <c r="AC45" s="61">
        <v>0</v>
      </c>
      <c r="AD45" s="351"/>
      <c r="AE45" s="73" t="e">
        <f t="shared" si="38"/>
        <v>#N/A</v>
      </c>
      <c r="AF45" s="356"/>
      <c r="AG45" s="73" t="e">
        <f t="shared" si="3"/>
        <v>#N/A</v>
      </c>
      <c r="AH45" s="356"/>
      <c r="AI45" s="221">
        <f t="shared" si="119"/>
        <v>29.26</v>
      </c>
      <c r="AJ45" s="78">
        <f t="shared" ref="AJ45:AP45" si="124">AJ44</f>
        <v>0.26750000000000002</v>
      </c>
      <c r="AK45" s="79">
        <f t="shared" si="124"/>
        <v>9.9166666666666661</v>
      </c>
      <c r="AL45" s="80">
        <f t="shared" si="124"/>
        <v>187</v>
      </c>
      <c r="AM45" s="78">
        <f t="shared" si="124"/>
        <v>9.737942583732058E-2</v>
      </c>
      <c r="AN45" s="80">
        <f t="shared" si="55"/>
        <v>143</v>
      </c>
      <c r="AO45" s="78">
        <f t="shared" si="124"/>
        <v>0.21099999999999999</v>
      </c>
      <c r="AP45" s="88">
        <f t="shared" si="124"/>
        <v>12</v>
      </c>
      <c r="AQ45" s="64">
        <f t="shared" si="47"/>
        <v>21.5</v>
      </c>
      <c r="AR45" s="64">
        <f t="shared" si="48"/>
        <v>11.5</v>
      </c>
      <c r="AS45" s="88">
        <f t="shared" si="50"/>
        <v>1.1830000000000001</v>
      </c>
      <c r="AT45" s="91">
        <f t="shared" si="89"/>
        <v>283</v>
      </c>
      <c r="AU45" s="94"/>
      <c r="AV45" s="95"/>
      <c r="AW45" s="56">
        <f t="shared" si="4"/>
        <v>0</v>
      </c>
      <c r="AX45" s="351"/>
      <c r="AY45" s="100">
        <f t="shared" si="52"/>
        <v>9.9166666666666661</v>
      </c>
      <c r="AZ45" s="360"/>
      <c r="BA45" s="91">
        <f t="shared" si="111"/>
        <v>-361.61254700000012</v>
      </c>
      <c r="BB45" s="5">
        <f t="shared" si="5"/>
        <v>-9.9166666666666661</v>
      </c>
      <c r="BC45" s="363"/>
      <c r="BD45" s="91" t="e">
        <f t="shared" ca="1" si="6"/>
        <v>#N/A</v>
      </c>
      <c r="BE45" s="91" t="e">
        <f t="shared" ca="1" si="7"/>
        <v>#N/A</v>
      </c>
      <c r="BF45" s="91">
        <f t="shared" si="8"/>
        <v>31.833333333333329</v>
      </c>
      <c r="BG45" s="91" t="e">
        <f t="shared" ca="1" si="9"/>
        <v>#N/A</v>
      </c>
      <c r="BH45" s="91" t="e">
        <f t="shared" ca="1" si="61"/>
        <v>#N/A</v>
      </c>
      <c r="BI45" s="10" t="e">
        <f t="shared" ca="1" si="40"/>
        <v>#N/A</v>
      </c>
      <c r="BJ45" s="104">
        <f>((M45+Q45)*AJ45+AK45)+((U45-W45+W45/('Vergleich Holz Strom'!$B$8-0.6))*AO45+AP45)</f>
        <v>21.916666666666664</v>
      </c>
      <c r="BK45" s="10" t="e">
        <f t="shared" ca="1" si="11"/>
        <v>#N/A</v>
      </c>
      <c r="BL45" s="379"/>
      <c r="BM45" s="104" t="e">
        <f t="shared" ca="1" si="27"/>
        <v>#N/A</v>
      </c>
      <c r="BN45" s="40" t="e">
        <f ca="1">IF(ISNUMBER(BK45),BN44+SUMIF(BK38:BK49,"&lt;&gt;#NV",BK38:BK49)/COUNTIF(BK38:BK49,"&lt;&gt;#NV"),#N/A)</f>
        <v>#N/A</v>
      </c>
      <c r="BO45" s="10" t="e">
        <f t="shared" ca="1" si="104"/>
        <v>#N/A</v>
      </c>
      <c r="BP45" s="104" t="e">
        <f t="shared" ca="1" si="29"/>
        <v>#N/A</v>
      </c>
      <c r="BQ45" s="104">
        <f t="shared" ca="1" si="108"/>
        <v>-62067.902546999947</v>
      </c>
      <c r="BR45" s="10">
        <f t="shared" si="12"/>
        <v>9.9166666666666661</v>
      </c>
      <c r="BS45" s="311"/>
      <c r="BT45" s="307"/>
      <c r="BU45" s="295">
        <f t="shared" si="13"/>
        <v>0</v>
      </c>
      <c r="BV45" s="323"/>
      <c r="BW45" s="299">
        <f t="shared" si="14"/>
        <v>0</v>
      </c>
      <c r="BX45" s="295">
        <f t="shared" si="15"/>
        <v>0</v>
      </c>
      <c r="BY45" s="382"/>
      <c r="BZ45" s="299">
        <f t="shared" si="30"/>
        <v>0</v>
      </c>
      <c r="CA45" s="295">
        <f t="shared" si="42"/>
        <v>0</v>
      </c>
      <c r="CB45" s="323"/>
      <c r="CC45" s="314">
        <f t="shared" si="76"/>
        <v>0</v>
      </c>
      <c r="CD45" s="326"/>
      <c r="CE45" s="299">
        <f t="shared" si="17"/>
        <v>0</v>
      </c>
      <c r="CF45" s="284">
        <f t="shared" si="77"/>
        <v>0</v>
      </c>
      <c r="CG45" s="323"/>
      <c r="CH45" s="302">
        <f t="shared" si="58"/>
        <v>0</v>
      </c>
      <c r="CI45" s="108">
        <f t="shared" si="19"/>
        <v>0</v>
      </c>
      <c r="CJ45" s="200">
        <f t="shared" si="20"/>
        <v>0</v>
      </c>
      <c r="CK45" s="197">
        <f t="shared" si="51"/>
        <v>0</v>
      </c>
      <c r="CL45" s="203">
        <f t="shared" si="21"/>
        <v>12</v>
      </c>
      <c r="CM45" s="4">
        <f>U45*Jahresdaten!$AD$2</f>
        <v>0</v>
      </c>
      <c r="CN45" s="112">
        <f>CJ45*Jahresdaten!$AD$2</f>
        <v>0</v>
      </c>
      <c r="CO45" s="366"/>
      <c r="CP45" s="116">
        <f>U45*Jahresdaten!$AD$3</f>
        <v>0</v>
      </c>
      <c r="CQ45" s="12">
        <f>CJ45*Jahresdaten!$AD$3</f>
        <v>0</v>
      </c>
      <c r="CR45" s="353"/>
      <c r="CS45" s="14"/>
      <c r="CT45" s="136"/>
      <c r="CU45" s="140" t="str">
        <f>IF(CT45=0,"",CT45*'Vergleich Holz Strom'!$B$2)</f>
        <v/>
      </c>
      <c r="CV45" s="353">
        <f>SUM(CS38:CS49)</f>
        <v>1169</v>
      </c>
      <c r="CW45" s="366"/>
      <c r="CX45" s="345"/>
      <c r="CY45" s="345"/>
      <c r="CZ45" s="345"/>
      <c r="DA45" s="348"/>
      <c r="DB45" s="94"/>
      <c r="DC45" s="88">
        <f t="shared" si="53"/>
        <v>5684.177999999999</v>
      </c>
      <c r="DD45" s="94"/>
      <c r="DE45" s="88">
        <f t="shared" si="56"/>
        <v>-3685.1125469999997</v>
      </c>
      <c r="DF45" s="100" t="e">
        <f ca="1">BE45+(SUM(CS38:CS49)/12)</f>
        <v>#N/A</v>
      </c>
      <c r="DG45" s="351"/>
      <c r="DH45" s="8">
        <f t="shared" si="112"/>
        <v>0</v>
      </c>
      <c r="DI45" s="123">
        <f t="shared" si="109"/>
        <v>16000</v>
      </c>
      <c r="DJ45" s="2">
        <f t="shared" si="113"/>
        <v>0</v>
      </c>
      <c r="DK45" s="127">
        <f>DK49/12*8</f>
        <v>5200</v>
      </c>
      <c r="DL45" s="2">
        <f t="shared" si="114"/>
        <v>650</v>
      </c>
      <c r="DM45" s="130">
        <f t="shared" si="115"/>
        <v>0</v>
      </c>
      <c r="DN45" s="3">
        <f>DN49/12*8</f>
        <v>2000</v>
      </c>
      <c r="DO45" s="130">
        <f t="shared" si="116"/>
        <v>250</v>
      </c>
      <c r="DP45" s="4">
        <f t="shared" si="117"/>
        <v>0</v>
      </c>
      <c r="DQ45" s="116">
        <f t="shared" si="118"/>
        <v>8800</v>
      </c>
      <c r="DR45" s="116">
        <f t="shared" si="120"/>
        <v>1100</v>
      </c>
    </row>
    <row r="46" spans="1:122" ht="14.25" customHeight="1" thickBot="1" x14ac:dyDescent="0.2">
      <c r="A46" s="416"/>
      <c r="B46" s="16">
        <v>44713</v>
      </c>
      <c r="C46" s="207">
        <f>'PV-Felder'!$I$7</f>
        <v>3595.6000000000004</v>
      </c>
      <c r="D46" s="351"/>
      <c r="E46" s="61">
        <v>0</v>
      </c>
      <c r="F46" s="351"/>
      <c r="G46" s="56" t="e">
        <f t="shared" ca="1" si="0"/>
        <v>#N/A</v>
      </c>
      <c r="H46" s="351"/>
      <c r="I46" s="61">
        <v>0</v>
      </c>
      <c r="J46" s="351"/>
      <c r="K46" s="61">
        <v>0</v>
      </c>
      <c r="L46" s="351"/>
      <c r="M46" s="65">
        <f t="shared" si="1"/>
        <v>0</v>
      </c>
      <c r="N46" s="373"/>
      <c r="O46" s="288"/>
      <c r="P46" s="288"/>
      <c r="Q46" s="286">
        <f t="shared" si="2"/>
        <v>0</v>
      </c>
      <c r="R46" s="334"/>
      <c r="S46" s="61">
        <v>0</v>
      </c>
      <c r="T46" s="376"/>
      <c r="U46" s="61">
        <v>0</v>
      </c>
      <c r="V46" s="342"/>
      <c r="W46" s="61">
        <v>0</v>
      </c>
      <c r="X46" s="342"/>
      <c r="Y46" s="211" t="e">
        <f t="shared" si="106"/>
        <v>#N/A</v>
      </c>
      <c r="Z46" s="370"/>
      <c r="AA46" s="61">
        <v>0</v>
      </c>
      <c r="AB46" s="351"/>
      <c r="AC46" s="61">
        <v>0</v>
      </c>
      <c r="AD46" s="351"/>
      <c r="AE46" s="73" t="e">
        <f t="shared" si="38"/>
        <v>#N/A</v>
      </c>
      <c r="AF46" s="356"/>
      <c r="AG46" s="73" t="e">
        <f t="shared" si="3"/>
        <v>#N/A</v>
      </c>
      <c r="AH46" s="356"/>
      <c r="AI46" s="221">
        <f t="shared" si="119"/>
        <v>29.26</v>
      </c>
      <c r="AJ46" s="78">
        <f t="shared" ref="AJ46:AP46" si="125">AJ45</f>
        <v>0.26750000000000002</v>
      </c>
      <c r="AK46" s="79">
        <f t="shared" si="125"/>
        <v>9.9166666666666661</v>
      </c>
      <c r="AL46" s="80">
        <f t="shared" si="125"/>
        <v>187</v>
      </c>
      <c r="AM46" s="78">
        <f t="shared" si="125"/>
        <v>9.737942583732058E-2</v>
      </c>
      <c r="AN46" s="80">
        <f t="shared" si="55"/>
        <v>143</v>
      </c>
      <c r="AO46" s="78">
        <f t="shared" si="125"/>
        <v>0.21099999999999999</v>
      </c>
      <c r="AP46" s="88">
        <f t="shared" si="125"/>
        <v>12</v>
      </c>
      <c r="AQ46" s="64">
        <f t="shared" si="47"/>
        <v>21.5</v>
      </c>
      <c r="AR46" s="64">
        <f t="shared" si="48"/>
        <v>11.5</v>
      </c>
      <c r="AS46" s="88">
        <f t="shared" si="50"/>
        <v>1.1830000000000001</v>
      </c>
      <c r="AT46" s="91">
        <f t="shared" si="89"/>
        <v>283</v>
      </c>
      <c r="AU46" s="94"/>
      <c r="AV46" s="95"/>
      <c r="AW46" s="56">
        <f t="shared" si="4"/>
        <v>0</v>
      </c>
      <c r="AX46" s="351"/>
      <c r="AY46" s="100">
        <f t="shared" si="52"/>
        <v>9.9166666666666661</v>
      </c>
      <c r="AZ46" s="360"/>
      <c r="BA46" s="91">
        <f t="shared" si="111"/>
        <v>-371.52921366666681</v>
      </c>
      <c r="BB46" s="5">
        <f t="shared" si="5"/>
        <v>-9.9166666666666661</v>
      </c>
      <c r="BC46" s="363"/>
      <c r="BD46" s="91" t="e">
        <f t="shared" ca="1" si="6"/>
        <v>#N/A</v>
      </c>
      <c r="BE46" s="91" t="e">
        <f t="shared" ca="1" si="7"/>
        <v>#N/A</v>
      </c>
      <c r="BF46" s="91">
        <f t="shared" si="8"/>
        <v>31.833333333333329</v>
      </c>
      <c r="BG46" s="91" t="e">
        <f t="shared" ca="1" si="9"/>
        <v>#N/A</v>
      </c>
      <c r="BH46" s="91" t="e">
        <f t="shared" ca="1" si="61"/>
        <v>#N/A</v>
      </c>
      <c r="BI46" s="10" t="e">
        <f t="shared" ca="1" si="40"/>
        <v>#N/A</v>
      </c>
      <c r="BJ46" s="104">
        <f>((M46+Q46)*AJ46+AK46)+((U46-W46+W46/('Vergleich Holz Strom'!$B$8-0.6))*AO46+AP46)</f>
        <v>21.916666666666664</v>
      </c>
      <c r="BK46" s="10" t="e">
        <f t="shared" ca="1" si="11"/>
        <v>#N/A</v>
      </c>
      <c r="BL46" s="379"/>
      <c r="BM46" s="104" t="e">
        <f t="shared" ca="1" si="27"/>
        <v>#N/A</v>
      </c>
      <c r="BN46" s="40" t="e">
        <f ca="1">IF(ISNUMBER(BK46),BN45+SUMIF(BK38:BK49,"&lt;&gt;#NV",BK38:BK49)/COUNTIF(BK38:BK49,"&lt;&gt;#NV"),#N/A)</f>
        <v>#N/A</v>
      </c>
      <c r="BO46" s="10" t="e">
        <f t="shared" ca="1" si="104"/>
        <v>#N/A</v>
      </c>
      <c r="BP46" s="104" t="e">
        <f t="shared" ca="1" si="29"/>
        <v>#N/A</v>
      </c>
      <c r="BQ46" s="104">
        <f t="shared" ref="BQ46:BQ57" ca="1" si="126">IF(B47&lt;=TODAY(),BP46,IF(E46=0,BQ45+((BQ22-BQ21+BQ34-BQ33)/2),BP46))</f>
        <v>-62052.302546999948</v>
      </c>
      <c r="BR46" s="10">
        <f t="shared" si="12"/>
        <v>9.9166666666666661</v>
      </c>
      <c r="BS46" s="311"/>
      <c r="BT46" s="307"/>
      <c r="BU46" s="295">
        <f t="shared" si="13"/>
        <v>0</v>
      </c>
      <c r="BV46" s="323"/>
      <c r="BW46" s="299">
        <f t="shared" si="14"/>
        <v>0</v>
      </c>
      <c r="BX46" s="295">
        <f t="shared" si="15"/>
        <v>0</v>
      </c>
      <c r="BY46" s="382"/>
      <c r="BZ46" s="299">
        <f t="shared" si="30"/>
        <v>0</v>
      </c>
      <c r="CA46" s="295">
        <f t="shared" si="42"/>
        <v>0</v>
      </c>
      <c r="CB46" s="323"/>
      <c r="CC46" s="314">
        <f t="shared" si="76"/>
        <v>0</v>
      </c>
      <c r="CD46" s="326"/>
      <c r="CE46" s="299">
        <f t="shared" si="17"/>
        <v>0</v>
      </c>
      <c r="CF46" s="284">
        <f t="shared" si="77"/>
        <v>0</v>
      </c>
      <c r="CG46" s="323"/>
      <c r="CH46" s="302">
        <f t="shared" si="58"/>
        <v>0</v>
      </c>
      <c r="CI46" s="108">
        <f t="shared" si="19"/>
        <v>0</v>
      </c>
      <c r="CJ46" s="200">
        <f t="shared" si="20"/>
        <v>0</v>
      </c>
      <c r="CK46" s="197">
        <f t="shared" si="51"/>
        <v>0</v>
      </c>
      <c r="CL46" s="203">
        <f t="shared" si="21"/>
        <v>12</v>
      </c>
      <c r="CM46" s="4">
        <f>U46*Jahresdaten!$AD$2</f>
        <v>0</v>
      </c>
      <c r="CN46" s="112">
        <f>CJ46*Jahresdaten!$AD$2</f>
        <v>0</v>
      </c>
      <c r="CO46" s="366"/>
      <c r="CP46" s="116">
        <f>U46*Jahresdaten!$AD$3</f>
        <v>0</v>
      </c>
      <c r="CQ46" s="12">
        <f>CJ46*Jahresdaten!$AD$3</f>
        <v>0</v>
      </c>
      <c r="CR46" s="353"/>
      <c r="CS46" s="14"/>
      <c r="CT46" s="136"/>
      <c r="CU46" s="140" t="str">
        <f>IF(CT46=0,"",CT46*'Vergleich Holz Strom'!$B$2)</f>
        <v/>
      </c>
      <c r="CV46" s="353"/>
      <c r="CW46" s="366"/>
      <c r="CX46" s="345"/>
      <c r="CY46" s="345"/>
      <c r="CZ46" s="345"/>
      <c r="DA46" s="348"/>
      <c r="DB46" s="94"/>
      <c r="DC46" s="88">
        <f t="shared" si="53"/>
        <v>5861.261333333332</v>
      </c>
      <c r="DD46" s="94"/>
      <c r="DE46" s="88">
        <f t="shared" si="56"/>
        <v>-3828.1125469999997</v>
      </c>
      <c r="DF46" s="100" t="e">
        <f ca="1">BE46+(SUM(CS38:CS49)/12)</f>
        <v>#N/A</v>
      </c>
      <c r="DG46" s="351"/>
      <c r="DH46" s="8">
        <f t="shared" si="112"/>
        <v>0</v>
      </c>
      <c r="DI46" s="123">
        <f t="shared" si="109"/>
        <v>17200</v>
      </c>
      <c r="DJ46" s="2">
        <f t="shared" si="113"/>
        <v>0</v>
      </c>
      <c r="DK46" s="127">
        <f>DK49/12*9</f>
        <v>5850</v>
      </c>
      <c r="DL46" s="2">
        <f t="shared" si="114"/>
        <v>650</v>
      </c>
      <c r="DM46" s="130">
        <f t="shared" si="115"/>
        <v>0</v>
      </c>
      <c r="DN46" s="3">
        <f>DN49/12*9</f>
        <v>2250</v>
      </c>
      <c r="DO46" s="130">
        <f t="shared" si="116"/>
        <v>250</v>
      </c>
      <c r="DP46" s="4">
        <f t="shared" si="117"/>
        <v>0</v>
      </c>
      <c r="DQ46" s="116">
        <f t="shared" si="118"/>
        <v>9100</v>
      </c>
      <c r="DR46" s="116">
        <f t="shared" si="120"/>
        <v>300</v>
      </c>
    </row>
    <row r="47" spans="1:122" ht="14.25" customHeight="1" thickBot="1" x14ac:dyDescent="0.2">
      <c r="A47" s="416"/>
      <c r="B47" s="16">
        <v>44743</v>
      </c>
      <c r="C47" s="207">
        <f>'PV-Felder'!$I$8</f>
        <v>3593.8</v>
      </c>
      <c r="D47" s="351"/>
      <c r="E47" s="61">
        <v>0</v>
      </c>
      <c r="F47" s="351"/>
      <c r="G47" s="56" t="e">
        <f t="shared" ca="1" si="0"/>
        <v>#N/A</v>
      </c>
      <c r="H47" s="351"/>
      <c r="I47" s="61">
        <v>0</v>
      </c>
      <c r="J47" s="351"/>
      <c r="K47" s="61">
        <v>0</v>
      </c>
      <c r="L47" s="351"/>
      <c r="M47" s="65">
        <f t="shared" si="1"/>
        <v>0</v>
      </c>
      <c r="N47" s="373"/>
      <c r="O47" s="288"/>
      <c r="P47" s="288"/>
      <c r="Q47" s="286">
        <f t="shared" si="2"/>
        <v>0</v>
      </c>
      <c r="R47" s="334"/>
      <c r="S47" s="61">
        <v>0</v>
      </c>
      <c r="T47" s="376"/>
      <c r="U47" s="61">
        <v>0</v>
      </c>
      <c r="V47" s="342"/>
      <c r="W47" s="61">
        <v>0</v>
      </c>
      <c r="X47" s="342"/>
      <c r="Y47" s="211" t="e">
        <f t="shared" si="106"/>
        <v>#N/A</v>
      </c>
      <c r="Z47" s="370"/>
      <c r="AA47" s="61">
        <v>0</v>
      </c>
      <c r="AB47" s="351"/>
      <c r="AC47" s="61">
        <v>0</v>
      </c>
      <c r="AD47" s="351"/>
      <c r="AE47" s="73" t="e">
        <f t="shared" si="38"/>
        <v>#N/A</v>
      </c>
      <c r="AF47" s="356"/>
      <c r="AG47" s="73" t="e">
        <f t="shared" si="3"/>
        <v>#N/A</v>
      </c>
      <c r="AH47" s="356"/>
      <c r="AI47" s="221">
        <f t="shared" si="119"/>
        <v>29.26</v>
      </c>
      <c r="AJ47" s="78">
        <f t="shared" ref="AJ47:AP47" si="127">AJ46</f>
        <v>0.26750000000000002</v>
      </c>
      <c r="AK47" s="79">
        <f t="shared" si="127"/>
        <v>9.9166666666666661</v>
      </c>
      <c r="AL47" s="80">
        <f t="shared" si="127"/>
        <v>187</v>
      </c>
      <c r="AM47" s="78">
        <f t="shared" si="127"/>
        <v>9.737942583732058E-2</v>
      </c>
      <c r="AN47" s="80">
        <f t="shared" si="55"/>
        <v>143</v>
      </c>
      <c r="AO47" s="78">
        <f t="shared" si="127"/>
        <v>0.21099999999999999</v>
      </c>
      <c r="AP47" s="88">
        <f t="shared" si="127"/>
        <v>12</v>
      </c>
      <c r="AQ47" s="64">
        <f t="shared" si="47"/>
        <v>21.5</v>
      </c>
      <c r="AR47" s="64">
        <f t="shared" si="48"/>
        <v>11.5</v>
      </c>
      <c r="AS47" s="88">
        <f t="shared" si="50"/>
        <v>1.1830000000000001</v>
      </c>
      <c r="AT47" s="91">
        <f t="shared" si="89"/>
        <v>283</v>
      </c>
      <c r="AU47" s="94"/>
      <c r="AV47" s="95"/>
      <c r="AW47" s="56">
        <f t="shared" si="4"/>
        <v>0</v>
      </c>
      <c r="AX47" s="351"/>
      <c r="AY47" s="100">
        <f t="shared" si="52"/>
        <v>9.9166666666666661</v>
      </c>
      <c r="AZ47" s="360"/>
      <c r="BA47" s="91">
        <f t="shared" si="111"/>
        <v>-381.44588033333349</v>
      </c>
      <c r="BB47" s="5">
        <f t="shared" si="5"/>
        <v>-9.9166666666666661</v>
      </c>
      <c r="BC47" s="363"/>
      <c r="BD47" s="91" t="e">
        <f t="shared" ca="1" si="6"/>
        <v>#N/A</v>
      </c>
      <c r="BE47" s="91" t="e">
        <f t="shared" ca="1" si="7"/>
        <v>#N/A</v>
      </c>
      <c r="BF47" s="91">
        <f t="shared" si="8"/>
        <v>31.833333333333329</v>
      </c>
      <c r="BG47" s="91" t="e">
        <f t="shared" ca="1" si="9"/>
        <v>#N/A</v>
      </c>
      <c r="BH47" s="91" t="e">
        <f t="shared" ca="1" si="61"/>
        <v>#N/A</v>
      </c>
      <c r="BI47" s="10" t="e">
        <f t="shared" ca="1" si="40"/>
        <v>#N/A</v>
      </c>
      <c r="BJ47" s="104">
        <f>((M47+Q47)*AJ47+AK47)+((U47-W47+W47/('Vergleich Holz Strom'!$B$8-0.6))*AO47+AP47)</f>
        <v>21.916666666666664</v>
      </c>
      <c r="BK47" s="10" t="e">
        <f t="shared" ca="1" si="11"/>
        <v>#N/A</v>
      </c>
      <c r="BL47" s="379"/>
      <c r="BM47" s="104" t="e">
        <f t="shared" ca="1" si="27"/>
        <v>#N/A</v>
      </c>
      <c r="BN47" s="40" t="e">
        <f ca="1">IF(ISNUMBER(BK47),BN46+SUMIF(BK38:BK49,"&lt;&gt;#NV",BK38:BK49)/COUNTIF(BK38:BK49,"&lt;&gt;#NV"),#N/A)</f>
        <v>#N/A</v>
      </c>
      <c r="BO47" s="10" t="e">
        <f ca="1">BK47+AT47+AU47</f>
        <v>#N/A</v>
      </c>
      <c r="BP47" s="104" t="e">
        <f t="shared" ca="1" si="29"/>
        <v>#N/A</v>
      </c>
      <c r="BQ47" s="104">
        <f t="shared" ca="1" si="126"/>
        <v>-62036.70254699995</v>
      </c>
      <c r="BR47" s="10">
        <f t="shared" si="12"/>
        <v>9.9166666666666661</v>
      </c>
      <c r="BS47" s="311"/>
      <c r="BT47" s="307"/>
      <c r="BU47" s="295">
        <f t="shared" si="13"/>
        <v>0</v>
      </c>
      <c r="BV47" s="323"/>
      <c r="BW47" s="299">
        <f t="shared" si="14"/>
        <v>0</v>
      </c>
      <c r="BX47" s="295">
        <f t="shared" si="15"/>
        <v>0</v>
      </c>
      <c r="BY47" s="382"/>
      <c r="BZ47" s="299">
        <f t="shared" si="30"/>
        <v>0</v>
      </c>
      <c r="CA47" s="295">
        <f t="shared" si="42"/>
        <v>0</v>
      </c>
      <c r="CB47" s="323"/>
      <c r="CC47" s="314">
        <f t="shared" si="76"/>
        <v>0</v>
      </c>
      <c r="CD47" s="326"/>
      <c r="CE47" s="299">
        <f t="shared" si="17"/>
        <v>0</v>
      </c>
      <c r="CF47" s="284">
        <f t="shared" si="77"/>
        <v>0</v>
      </c>
      <c r="CG47" s="323"/>
      <c r="CH47" s="302">
        <f t="shared" si="58"/>
        <v>0</v>
      </c>
      <c r="CI47" s="108">
        <f t="shared" si="19"/>
        <v>0</v>
      </c>
      <c r="CJ47" s="200">
        <f t="shared" si="20"/>
        <v>0</v>
      </c>
      <c r="CK47" s="197">
        <f t="shared" si="51"/>
        <v>0</v>
      </c>
      <c r="CL47" s="203">
        <f t="shared" si="21"/>
        <v>12</v>
      </c>
      <c r="CM47" s="4">
        <f>U47*Jahresdaten!$AD$2</f>
        <v>0</v>
      </c>
      <c r="CN47" s="112">
        <f>CJ47*Jahresdaten!$AD$2</f>
        <v>0</v>
      </c>
      <c r="CO47" s="366"/>
      <c r="CP47" s="116">
        <f>U47*Jahresdaten!$AD$3</f>
        <v>0</v>
      </c>
      <c r="CQ47" s="12">
        <f>CJ47*Jahresdaten!$AD$3</f>
        <v>0</v>
      </c>
      <c r="CR47" s="353"/>
      <c r="CS47" s="14"/>
      <c r="CT47" s="136"/>
      <c r="CU47" s="140" t="str">
        <f>IF(CT47=0,"",CT47*'Vergleich Holz Strom'!$B$2)</f>
        <v/>
      </c>
      <c r="CV47" s="353"/>
      <c r="CW47" s="366"/>
      <c r="CX47" s="345"/>
      <c r="CY47" s="345"/>
      <c r="CZ47" s="345"/>
      <c r="DA47" s="348"/>
      <c r="DB47" s="94"/>
      <c r="DC47" s="88">
        <f t="shared" si="53"/>
        <v>6038.344666666665</v>
      </c>
      <c r="DD47" s="94"/>
      <c r="DE47" s="88">
        <f t="shared" si="56"/>
        <v>-3971.1125469999997</v>
      </c>
      <c r="DF47" s="100" t="e">
        <f ca="1">BE47+(SUM(CS38:CS49)/12)</f>
        <v>#N/A</v>
      </c>
      <c r="DG47" s="351"/>
      <c r="DH47" s="8">
        <f t="shared" si="112"/>
        <v>0</v>
      </c>
      <c r="DI47" s="123">
        <f t="shared" si="109"/>
        <v>18250</v>
      </c>
      <c r="DJ47" s="2">
        <f t="shared" si="113"/>
        <v>0</v>
      </c>
      <c r="DK47" s="127">
        <f>DK49/12*10</f>
        <v>6500</v>
      </c>
      <c r="DL47" s="2">
        <f t="shared" si="114"/>
        <v>650</v>
      </c>
      <c r="DM47" s="130">
        <f t="shared" si="115"/>
        <v>0</v>
      </c>
      <c r="DN47" s="3">
        <f>DN49/12*10</f>
        <v>2500</v>
      </c>
      <c r="DO47" s="130">
        <f t="shared" si="116"/>
        <v>250</v>
      </c>
      <c r="DP47" s="4">
        <f t="shared" si="117"/>
        <v>0</v>
      </c>
      <c r="DQ47" s="116">
        <f t="shared" si="118"/>
        <v>9250</v>
      </c>
      <c r="DR47" s="116">
        <f t="shared" si="120"/>
        <v>150</v>
      </c>
    </row>
    <row r="48" spans="1:122" ht="14.25" customHeight="1" thickBot="1" x14ac:dyDescent="0.2">
      <c r="A48" s="416"/>
      <c r="B48" s="16">
        <v>44774</v>
      </c>
      <c r="C48" s="207">
        <f>'PV-Felder'!$I$9</f>
        <v>3065.7</v>
      </c>
      <c r="D48" s="351"/>
      <c r="E48" s="61">
        <v>0</v>
      </c>
      <c r="F48" s="351"/>
      <c r="G48" s="56" t="e">
        <f t="shared" ca="1" si="0"/>
        <v>#N/A</v>
      </c>
      <c r="H48" s="351"/>
      <c r="I48" s="61">
        <v>0</v>
      </c>
      <c r="J48" s="351"/>
      <c r="K48" s="61">
        <v>0</v>
      </c>
      <c r="L48" s="351"/>
      <c r="M48" s="65">
        <f t="shared" si="1"/>
        <v>0</v>
      </c>
      <c r="N48" s="373"/>
      <c r="O48" s="288"/>
      <c r="P48" s="288"/>
      <c r="Q48" s="286">
        <f t="shared" si="2"/>
        <v>0</v>
      </c>
      <c r="R48" s="334"/>
      <c r="S48" s="61">
        <v>0</v>
      </c>
      <c r="T48" s="376"/>
      <c r="U48" s="61">
        <v>0</v>
      </c>
      <c r="V48" s="342"/>
      <c r="W48" s="61">
        <v>0</v>
      </c>
      <c r="X48" s="342"/>
      <c r="Y48" s="211" t="e">
        <f t="shared" si="106"/>
        <v>#N/A</v>
      </c>
      <c r="Z48" s="370"/>
      <c r="AA48" s="61">
        <v>0</v>
      </c>
      <c r="AB48" s="351"/>
      <c r="AC48" s="61">
        <v>0</v>
      </c>
      <c r="AD48" s="351"/>
      <c r="AE48" s="73" t="e">
        <f t="shared" si="38"/>
        <v>#N/A</v>
      </c>
      <c r="AF48" s="356"/>
      <c r="AG48" s="73" t="e">
        <f t="shared" si="3"/>
        <v>#N/A</v>
      </c>
      <c r="AH48" s="356"/>
      <c r="AI48" s="221">
        <f t="shared" si="119"/>
        <v>29.26</v>
      </c>
      <c r="AJ48" s="78">
        <f t="shared" ref="AJ48:AP48" si="128">AJ47</f>
        <v>0.26750000000000002</v>
      </c>
      <c r="AK48" s="79">
        <f t="shared" si="128"/>
        <v>9.9166666666666661</v>
      </c>
      <c r="AL48" s="80">
        <f t="shared" si="128"/>
        <v>187</v>
      </c>
      <c r="AM48" s="78">
        <f t="shared" si="128"/>
        <v>9.737942583732058E-2</v>
      </c>
      <c r="AN48" s="80">
        <f t="shared" si="55"/>
        <v>143</v>
      </c>
      <c r="AO48" s="78">
        <f t="shared" si="128"/>
        <v>0.21099999999999999</v>
      </c>
      <c r="AP48" s="88">
        <f t="shared" si="128"/>
        <v>12</v>
      </c>
      <c r="AQ48" s="64">
        <f t="shared" si="47"/>
        <v>21.5</v>
      </c>
      <c r="AR48" s="64">
        <f t="shared" si="48"/>
        <v>11.5</v>
      </c>
      <c r="AS48" s="88">
        <f t="shared" si="50"/>
        <v>1.1830000000000001</v>
      </c>
      <c r="AT48" s="91">
        <f t="shared" si="89"/>
        <v>283</v>
      </c>
      <c r="AU48" s="94"/>
      <c r="AV48" s="95"/>
      <c r="AW48" s="56">
        <f t="shared" si="4"/>
        <v>0</v>
      </c>
      <c r="AX48" s="351"/>
      <c r="AY48" s="100">
        <f t="shared" si="52"/>
        <v>9.9166666666666661</v>
      </c>
      <c r="AZ48" s="360"/>
      <c r="BA48" s="91">
        <f t="shared" si="111"/>
        <v>-391.36254700000018</v>
      </c>
      <c r="BB48" s="5">
        <f t="shared" si="5"/>
        <v>-9.9166666666666661</v>
      </c>
      <c r="BC48" s="363"/>
      <c r="BD48" s="91" t="e">
        <f t="shared" ca="1" si="6"/>
        <v>#N/A</v>
      </c>
      <c r="BE48" s="91" t="e">
        <f t="shared" ca="1" si="7"/>
        <v>#N/A</v>
      </c>
      <c r="BF48" s="91">
        <f t="shared" si="8"/>
        <v>31.833333333333329</v>
      </c>
      <c r="BG48" s="91" t="e">
        <f t="shared" ca="1" si="9"/>
        <v>#N/A</v>
      </c>
      <c r="BH48" s="91" t="e">
        <f t="shared" ca="1" si="61"/>
        <v>#N/A</v>
      </c>
      <c r="BI48" s="10" t="e">
        <f t="shared" ca="1" si="40"/>
        <v>#N/A</v>
      </c>
      <c r="BJ48" s="104">
        <f>((M48+Q48)*AJ48+AK48)+((U48-W48+W48/('Vergleich Holz Strom'!$B$8-0.6))*AO48+AP48)</f>
        <v>21.916666666666664</v>
      </c>
      <c r="BK48" s="10" t="e">
        <f t="shared" ca="1" si="11"/>
        <v>#N/A</v>
      </c>
      <c r="BL48" s="379"/>
      <c r="BM48" s="104" t="e">
        <f t="shared" ca="1" si="27"/>
        <v>#N/A</v>
      </c>
      <c r="BN48" s="40" t="e">
        <f ca="1">IF(ISNUMBER(BK48),BN47+SUMIF(BK38:BK49,"&lt;&gt;#NV",BK38:BK49)/COUNTIF(BK38:BK49,"&lt;&gt;#NV"),#N/A)</f>
        <v>#N/A</v>
      </c>
      <c r="BO48" s="10" t="e">
        <f t="shared" ref="BO48:BO58" ca="1" si="129">BK48+AT48+AU48</f>
        <v>#N/A</v>
      </c>
      <c r="BP48" s="104" t="e">
        <f t="shared" ca="1" si="29"/>
        <v>#N/A</v>
      </c>
      <c r="BQ48" s="104">
        <f t="shared" ca="1" si="126"/>
        <v>-62021.102546999951</v>
      </c>
      <c r="BR48" s="10">
        <f t="shared" si="12"/>
        <v>9.9166666666666661</v>
      </c>
      <c r="BS48" s="311"/>
      <c r="BT48" s="307"/>
      <c r="BU48" s="295">
        <f t="shared" si="13"/>
        <v>0</v>
      </c>
      <c r="BV48" s="323"/>
      <c r="BW48" s="299">
        <f t="shared" si="14"/>
        <v>0</v>
      </c>
      <c r="BX48" s="295">
        <f t="shared" si="15"/>
        <v>0</v>
      </c>
      <c r="BY48" s="382"/>
      <c r="BZ48" s="299">
        <f t="shared" si="30"/>
        <v>0</v>
      </c>
      <c r="CA48" s="295">
        <f t="shared" si="42"/>
        <v>0</v>
      </c>
      <c r="CB48" s="323"/>
      <c r="CC48" s="314">
        <f t="shared" si="76"/>
        <v>0</v>
      </c>
      <c r="CD48" s="326"/>
      <c r="CE48" s="299">
        <f t="shared" si="17"/>
        <v>0</v>
      </c>
      <c r="CF48" s="284">
        <f t="shared" si="77"/>
        <v>0</v>
      </c>
      <c r="CG48" s="323"/>
      <c r="CH48" s="302">
        <f t="shared" si="58"/>
        <v>0</v>
      </c>
      <c r="CI48" s="108">
        <f t="shared" si="19"/>
        <v>0</v>
      </c>
      <c r="CJ48" s="200">
        <f t="shared" si="20"/>
        <v>0</v>
      </c>
      <c r="CK48" s="197">
        <f t="shared" si="51"/>
        <v>0</v>
      </c>
      <c r="CL48" s="203">
        <f t="shared" si="21"/>
        <v>12</v>
      </c>
      <c r="CM48" s="4">
        <f>U48*Jahresdaten!$AD$2</f>
        <v>0</v>
      </c>
      <c r="CN48" s="112">
        <f>CJ48*Jahresdaten!$AD$2</f>
        <v>0</v>
      </c>
      <c r="CO48" s="366"/>
      <c r="CP48" s="116">
        <f>U48*Jahresdaten!$AD$3</f>
        <v>0</v>
      </c>
      <c r="CQ48" s="12">
        <f>CJ48*Jahresdaten!$AD$3</f>
        <v>0</v>
      </c>
      <c r="CR48" s="353"/>
      <c r="CS48" s="14"/>
      <c r="CT48" s="136"/>
      <c r="CU48" s="140" t="str">
        <f>IF(CT48=0,"",CT48*'Vergleich Holz Strom'!$B$2)</f>
        <v/>
      </c>
      <c r="CV48" s="353"/>
      <c r="CW48" s="366"/>
      <c r="CX48" s="345"/>
      <c r="CY48" s="345"/>
      <c r="CZ48" s="345"/>
      <c r="DA48" s="348"/>
      <c r="DB48" s="94"/>
      <c r="DC48" s="88">
        <f t="shared" si="53"/>
        <v>6215.4279999999981</v>
      </c>
      <c r="DD48" s="94"/>
      <c r="DE48" s="88">
        <f t="shared" si="56"/>
        <v>-4114.1125469999997</v>
      </c>
      <c r="DF48" s="100" t="e">
        <f ca="1">BE48+(SUM(CS38:CS49)/12)</f>
        <v>#N/A</v>
      </c>
      <c r="DG48" s="351"/>
      <c r="DH48" s="8">
        <f t="shared" si="112"/>
        <v>0</v>
      </c>
      <c r="DI48" s="123">
        <f t="shared" si="109"/>
        <v>19300</v>
      </c>
      <c r="DJ48" s="2">
        <f t="shared" si="113"/>
        <v>0</v>
      </c>
      <c r="DK48" s="127">
        <f>DK49/12*11</f>
        <v>7150</v>
      </c>
      <c r="DL48" s="2">
        <f t="shared" si="114"/>
        <v>650</v>
      </c>
      <c r="DM48" s="130">
        <f t="shared" si="115"/>
        <v>0</v>
      </c>
      <c r="DN48" s="3">
        <f>DN49/12*11</f>
        <v>2750</v>
      </c>
      <c r="DO48" s="130">
        <f t="shared" si="116"/>
        <v>250</v>
      </c>
      <c r="DP48" s="4">
        <f t="shared" si="117"/>
        <v>0</v>
      </c>
      <c r="DQ48" s="116">
        <f t="shared" si="118"/>
        <v>9400</v>
      </c>
      <c r="DR48" s="116">
        <f t="shared" si="120"/>
        <v>150</v>
      </c>
    </row>
    <row r="49" spans="1:122" s="28" customFormat="1" ht="15" customHeight="1" thickBot="1" x14ac:dyDescent="0.2">
      <c r="A49" s="417"/>
      <c r="B49" s="18">
        <v>44805</v>
      </c>
      <c r="C49" s="208">
        <f>'PV-Felder'!$I$10</f>
        <v>2246.7000000000003</v>
      </c>
      <c r="D49" s="352"/>
      <c r="E49" s="63">
        <v>0</v>
      </c>
      <c r="F49" s="352"/>
      <c r="G49" s="57" t="e">
        <f t="shared" ca="1" si="0"/>
        <v>#N/A</v>
      </c>
      <c r="H49" s="352"/>
      <c r="I49" s="63">
        <v>0</v>
      </c>
      <c r="J49" s="352"/>
      <c r="K49" s="63">
        <v>0</v>
      </c>
      <c r="L49" s="352"/>
      <c r="M49" s="67">
        <f t="shared" si="1"/>
        <v>0</v>
      </c>
      <c r="N49" s="374"/>
      <c r="O49" s="290"/>
      <c r="P49" s="290"/>
      <c r="Q49" s="289">
        <f t="shared" si="2"/>
        <v>0</v>
      </c>
      <c r="R49" s="334"/>
      <c r="S49" s="63">
        <v>0</v>
      </c>
      <c r="T49" s="377"/>
      <c r="U49" s="63">
        <v>0</v>
      </c>
      <c r="V49" s="343"/>
      <c r="W49" s="63">
        <v>0</v>
      </c>
      <c r="X49" s="343"/>
      <c r="Y49" s="213" t="e">
        <f t="shared" si="106"/>
        <v>#N/A</v>
      </c>
      <c r="Z49" s="371"/>
      <c r="AA49" s="63">
        <v>0</v>
      </c>
      <c r="AB49" s="352"/>
      <c r="AC49" s="63">
        <v>0</v>
      </c>
      <c r="AD49" s="352"/>
      <c r="AE49" s="75" t="e">
        <f t="shared" si="38"/>
        <v>#N/A</v>
      </c>
      <c r="AF49" s="357"/>
      <c r="AG49" s="75" t="e">
        <f t="shared" si="3"/>
        <v>#N/A</v>
      </c>
      <c r="AH49" s="357"/>
      <c r="AI49" s="223">
        <f>AI48</f>
        <v>29.26</v>
      </c>
      <c r="AJ49" s="83">
        <f t="shared" ref="AJ49:AP49" si="130">AJ48</f>
        <v>0.26750000000000002</v>
      </c>
      <c r="AK49" s="21">
        <f t="shared" si="130"/>
        <v>9.9166666666666661</v>
      </c>
      <c r="AL49" s="84">
        <f t="shared" si="130"/>
        <v>187</v>
      </c>
      <c r="AM49" s="83">
        <f t="shared" si="130"/>
        <v>9.737942583732058E-2</v>
      </c>
      <c r="AN49" s="84">
        <f t="shared" si="55"/>
        <v>143</v>
      </c>
      <c r="AO49" s="83">
        <f t="shared" si="130"/>
        <v>0.21099999999999999</v>
      </c>
      <c r="AP49" s="90">
        <f t="shared" si="130"/>
        <v>12</v>
      </c>
      <c r="AQ49" s="125">
        <f t="shared" si="47"/>
        <v>21.5</v>
      </c>
      <c r="AR49" s="125">
        <f t="shared" si="48"/>
        <v>11.5</v>
      </c>
      <c r="AS49" s="92">
        <f t="shared" si="50"/>
        <v>1.1830000000000001</v>
      </c>
      <c r="AT49" s="92">
        <f t="shared" si="89"/>
        <v>283</v>
      </c>
      <c r="AU49" s="98"/>
      <c r="AV49" s="99"/>
      <c r="AW49" s="57">
        <f t="shared" si="4"/>
        <v>0</v>
      </c>
      <c r="AX49" s="352"/>
      <c r="AY49" s="102">
        <f t="shared" si="52"/>
        <v>9.9166666666666661</v>
      </c>
      <c r="AZ49" s="361"/>
      <c r="BA49" s="92">
        <f t="shared" si="111"/>
        <v>-401.27921366666686</v>
      </c>
      <c r="BB49" s="22">
        <f t="shared" si="5"/>
        <v>-9.9166666666666661</v>
      </c>
      <c r="BC49" s="364"/>
      <c r="BD49" s="92" t="e">
        <f t="shared" ca="1" si="6"/>
        <v>#N/A</v>
      </c>
      <c r="BE49" s="92" t="e">
        <f t="shared" ca="1" si="7"/>
        <v>#N/A</v>
      </c>
      <c r="BF49" s="92">
        <f t="shared" si="8"/>
        <v>31.833333333333329</v>
      </c>
      <c r="BG49" s="92" t="e">
        <f t="shared" ca="1" si="9"/>
        <v>#N/A</v>
      </c>
      <c r="BH49" s="92" t="e">
        <f t="shared" ca="1" si="61"/>
        <v>#N/A</v>
      </c>
      <c r="BI49" s="24" t="e">
        <f t="shared" ca="1" si="40"/>
        <v>#N/A</v>
      </c>
      <c r="BJ49" s="106">
        <f>((M49+Q49)*AJ49+AK49)+((U49-W49+W49/('Vergleich Holz Strom'!$B$8-0.6))*AO49+AP49)</f>
        <v>21.916666666666664</v>
      </c>
      <c r="BK49" s="24" t="e">
        <f t="shared" ca="1" si="11"/>
        <v>#N/A</v>
      </c>
      <c r="BL49" s="380"/>
      <c r="BM49" s="106" t="e">
        <f t="shared" ca="1" si="27"/>
        <v>#N/A</v>
      </c>
      <c r="BN49" s="226" t="e">
        <f ca="1">IF(ISNUMBER(BK49),BN48+SUMIF(BK38:BK49,"&lt;&gt;#NV",BK38:BK49)/COUNTIF(BK38:BK49,"&lt;&gt;#NV"),#N/A)</f>
        <v>#N/A</v>
      </c>
      <c r="BO49" s="318" t="e">
        <f t="shared" ca="1" si="129"/>
        <v>#N/A</v>
      </c>
      <c r="BP49" s="106" t="e">
        <f t="shared" ca="1" si="29"/>
        <v>#N/A</v>
      </c>
      <c r="BQ49" s="106">
        <f t="shared" ca="1" si="126"/>
        <v>-62005.502546999953</v>
      </c>
      <c r="BR49" s="24">
        <f t="shared" si="12"/>
        <v>9.9166666666666661</v>
      </c>
      <c r="BS49" s="312"/>
      <c r="BT49" s="308"/>
      <c r="BU49" s="296">
        <f t="shared" si="13"/>
        <v>0</v>
      </c>
      <c r="BV49" s="324"/>
      <c r="BW49" s="292">
        <f t="shared" si="14"/>
        <v>0</v>
      </c>
      <c r="BX49" s="295">
        <f t="shared" si="15"/>
        <v>0</v>
      </c>
      <c r="BY49" s="382"/>
      <c r="BZ49" s="299">
        <f t="shared" si="30"/>
        <v>0</v>
      </c>
      <c r="CA49" s="296">
        <f t="shared" si="42"/>
        <v>0</v>
      </c>
      <c r="CB49" s="324"/>
      <c r="CC49" s="315">
        <f t="shared" si="76"/>
        <v>0</v>
      </c>
      <c r="CD49" s="327"/>
      <c r="CE49" s="292">
        <f t="shared" si="17"/>
        <v>0</v>
      </c>
      <c r="CF49" s="296">
        <f t="shared" si="77"/>
        <v>0</v>
      </c>
      <c r="CG49" s="324"/>
      <c r="CH49" s="303">
        <f t="shared" si="58"/>
        <v>0</v>
      </c>
      <c r="CI49" s="110">
        <f t="shared" si="19"/>
        <v>0</v>
      </c>
      <c r="CJ49" s="200">
        <f t="shared" si="20"/>
        <v>0</v>
      </c>
      <c r="CK49" s="25">
        <f t="shared" si="51"/>
        <v>0</v>
      </c>
      <c r="CL49" s="204">
        <f t="shared" si="21"/>
        <v>12</v>
      </c>
      <c r="CM49" s="26">
        <f>U49*Jahresdaten!$AD$2</f>
        <v>0</v>
      </c>
      <c r="CN49" s="114">
        <f>CJ49*Jahresdaten!$AD$2</f>
        <v>0</v>
      </c>
      <c r="CO49" s="346"/>
      <c r="CP49" s="118">
        <f>U49*Jahresdaten!$AD$3</f>
        <v>0</v>
      </c>
      <c r="CQ49" s="25">
        <f>CJ49*Jahresdaten!$AD$3</f>
        <v>0</v>
      </c>
      <c r="CR49" s="354"/>
      <c r="CS49" s="23"/>
      <c r="CT49" s="138"/>
      <c r="CU49" s="141" t="str">
        <f>IF(CT49=0,"",CT49*'Vergleich Holz Strom'!$B$2)</f>
        <v/>
      </c>
      <c r="CV49" s="354"/>
      <c r="CW49" s="346"/>
      <c r="CX49" s="346"/>
      <c r="CY49" s="346"/>
      <c r="CZ49" s="346"/>
      <c r="DA49" s="349"/>
      <c r="DB49" s="98"/>
      <c r="DC49" s="90">
        <f t="shared" si="53"/>
        <v>6392.5113333333311</v>
      </c>
      <c r="DD49" s="98"/>
      <c r="DE49" s="90">
        <f t="shared" si="56"/>
        <v>-4257.1125469999997</v>
      </c>
      <c r="DF49" s="102" t="e">
        <f ca="1">BE49+(SUM(CS38:CS49)/12)</f>
        <v>#N/A</v>
      </c>
      <c r="DG49" s="352"/>
      <c r="DH49" s="19">
        <f t="shared" si="112"/>
        <v>0</v>
      </c>
      <c r="DI49" s="125">
        <f t="shared" si="109"/>
        <v>20800</v>
      </c>
      <c r="DJ49" s="20">
        <f t="shared" si="113"/>
        <v>0</v>
      </c>
      <c r="DK49" s="129">
        <f>DK37</f>
        <v>7800</v>
      </c>
      <c r="DL49" s="20">
        <f t="shared" si="114"/>
        <v>650</v>
      </c>
      <c r="DM49" s="132">
        <f t="shared" si="115"/>
        <v>0</v>
      </c>
      <c r="DN49" s="27">
        <f>DN37</f>
        <v>3000</v>
      </c>
      <c r="DO49" s="132">
        <f t="shared" si="116"/>
        <v>250</v>
      </c>
      <c r="DP49" s="26">
        <f t="shared" si="117"/>
        <v>0</v>
      </c>
      <c r="DQ49" s="118">
        <f>DQ37</f>
        <v>10000</v>
      </c>
      <c r="DR49" s="118">
        <f>DR37</f>
        <v>600</v>
      </c>
    </row>
    <row r="50" spans="1:122" ht="15" customHeight="1" thickBot="1" x14ac:dyDescent="0.2">
      <c r="A50" s="415" t="s">
        <v>162</v>
      </c>
      <c r="B50" s="16">
        <v>44835</v>
      </c>
      <c r="C50" s="207">
        <f>'PV-Felder'!$I$11</f>
        <v>1416.7</v>
      </c>
      <c r="D50" s="358">
        <f>SUMIF(E50:E61,"&gt;0",C50:C61)</f>
        <v>0</v>
      </c>
      <c r="E50" s="61">
        <v>0</v>
      </c>
      <c r="F50" s="368">
        <f>SUM(E50:E61)</f>
        <v>0</v>
      </c>
      <c r="G50" s="58" t="e">
        <f t="shared" ca="1" si="0"/>
        <v>#N/A</v>
      </c>
      <c r="H50" s="358" t="e">
        <f ca="1">IF(TODAY()&lt;B50,#N/A,F50-D50)</f>
        <v>#N/A</v>
      </c>
      <c r="I50" s="61">
        <v>0</v>
      </c>
      <c r="J50" s="368">
        <f>SUM(I50:I61)</f>
        <v>0</v>
      </c>
      <c r="K50" s="61">
        <v>0</v>
      </c>
      <c r="L50" s="368">
        <f>SUM(K50:K61)</f>
        <v>0</v>
      </c>
      <c r="M50" s="66">
        <f t="shared" si="1"/>
        <v>0</v>
      </c>
      <c r="N50" s="372">
        <f>SUM(M50:M61)</f>
        <v>0</v>
      </c>
      <c r="Q50" s="287">
        <f t="shared" si="2"/>
        <v>0</v>
      </c>
      <c r="R50" s="333">
        <f>SUM(Q50:Q61)</f>
        <v>0</v>
      </c>
      <c r="S50" s="61">
        <v>0</v>
      </c>
      <c r="T50" s="375">
        <f>SUM(S50:S61)</f>
        <v>0</v>
      </c>
      <c r="U50" s="61">
        <v>0</v>
      </c>
      <c r="V50" s="341">
        <f>SUM(U50:U61)</f>
        <v>0</v>
      </c>
      <c r="W50" s="61">
        <v>0</v>
      </c>
      <c r="X50" s="341">
        <f>SUM(W50:W61)</f>
        <v>0</v>
      </c>
      <c r="Y50" s="211" t="e">
        <f t="shared" si="106"/>
        <v>#N/A</v>
      </c>
      <c r="Z50" s="369">
        <f>N50+T50+V50</f>
        <v>0</v>
      </c>
      <c r="AA50" s="62">
        <v>0</v>
      </c>
      <c r="AB50" s="368">
        <f>SUM(AA50:AA61)</f>
        <v>0</v>
      </c>
      <c r="AC50" s="62">
        <v>0</v>
      </c>
      <c r="AD50" s="368">
        <f>SUM(AC50:AC61)</f>
        <v>0</v>
      </c>
      <c r="AE50" s="74" t="e">
        <f t="shared" ref="AE50:AE113" si="131">IF(E50=0,#N/A,1/E50*(E50-AC50))</f>
        <v>#N/A</v>
      </c>
      <c r="AF50" s="355" t="e">
        <f>IF(SUMIF(AE50:AE61,"&gt;0")&gt;0,SUMIF(AE50:AE61,"&gt;0")/COUNTIF(AE50:AE61,"&gt;0"),#N/A)</f>
        <v>#N/A</v>
      </c>
      <c r="AG50" s="73" t="e">
        <f t="shared" ref="AG50:AG113" si="132">IF(E50=0,#N/A,1/(I50+K50+AA50)*(I50+K50))</f>
        <v>#N/A</v>
      </c>
      <c r="AH50" s="355" t="e">
        <f>IF(SUMIF(AG50:AG61,"&gt;0")&gt;0,SUMIF(AG50:AG61,"&gt;0")/COUNTIF(AG50:AG61,"&gt;0"),#N/A)</f>
        <v>#N/A</v>
      </c>
      <c r="AI50" s="222">
        <f>AI49</f>
        <v>29.26</v>
      </c>
      <c r="AJ50" s="78">
        <f t="shared" ref="AJ50:AM50" si="133">AJ49</f>
        <v>0.26750000000000002</v>
      </c>
      <c r="AK50" s="79">
        <f t="shared" si="133"/>
        <v>9.9166666666666661</v>
      </c>
      <c r="AL50" s="80">
        <f t="shared" si="133"/>
        <v>187</v>
      </c>
      <c r="AM50" s="78">
        <f t="shared" si="133"/>
        <v>9.737942583732058E-2</v>
      </c>
      <c r="AN50" s="80">
        <f t="shared" si="55"/>
        <v>143</v>
      </c>
      <c r="AO50" s="78">
        <f t="shared" si="55"/>
        <v>0.21099999999999999</v>
      </c>
      <c r="AP50" s="88">
        <f t="shared" si="55"/>
        <v>12</v>
      </c>
      <c r="AQ50" s="64">
        <f t="shared" si="47"/>
        <v>21.5</v>
      </c>
      <c r="AR50" s="64">
        <f t="shared" si="48"/>
        <v>11.5</v>
      </c>
      <c r="AS50" s="88">
        <f t="shared" si="50"/>
        <v>1.1830000000000001</v>
      </c>
      <c r="AT50" s="91">
        <f t="shared" si="89"/>
        <v>283</v>
      </c>
      <c r="AU50" s="94"/>
      <c r="AV50" s="95"/>
      <c r="AW50" s="56">
        <f t="shared" si="4"/>
        <v>0</v>
      </c>
      <c r="AX50" s="358">
        <f>SUM(AW50:AW61)</f>
        <v>0</v>
      </c>
      <c r="AY50" s="100">
        <f t="shared" si="52"/>
        <v>9.9166666666666661</v>
      </c>
      <c r="AZ50" s="359">
        <f>SUM(AY50:AY61)</f>
        <v>119.00000000000001</v>
      </c>
      <c r="BA50" s="103">
        <f>BA49-AY50</f>
        <v>-411.19588033333355</v>
      </c>
      <c r="BB50" s="5">
        <f t="shared" ref="BB50:BB113" si="134">-AY50</f>
        <v>-9.9166666666666661</v>
      </c>
      <c r="BC50" s="362">
        <f>SUM(AY50:AY61)/12</f>
        <v>9.9166666666666679</v>
      </c>
      <c r="BD50" s="91" t="e">
        <f t="shared" ca="1" si="6"/>
        <v>#N/A</v>
      </c>
      <c r="BE50" s="91" t="e">
        <f t="shared" ca="1" si="7"/>
        <v>#N/A</v>
      </c>
      <c r="BF50" s="91">
        <f t="shared" si="8"/>
        <v>31.833333333333329</v>
      </c>
      <c r="BG50" s="91" t="e">
        <f t="shared" ca="1" si="9"/>
        <v>#N/A</v>
      </c>
      <c r="BH50" s="91" t="e">
        <f t="shared" ca="1" si="61"/>
        <v>#N/A</v>
      </c>
      <c r="BI50" s="10" t="e">
        <f t="shared" ca="1" si="40"/>
        <v>#N/A</v>
      </c>
      <c r="BJ50" s="104">
        <f>((M50+Q50)*AJ50+AK50)+((U50-W50+W50/('Vergleich Holz Strom'!$B$8-0.6))*AO50+AP50)</f>
        <v>21.916666666666664</v>
      </c>
      <c r="BK50" s="10" t="e">
        <f t="shared" ref="BK50:BK113" ca="1" si="135">BJ50-BI50</f>
        <v>#N/A</v>
      </c>
      <c r="BL50" s="378">
        <f ca="1">SUMIF(BK50:BK61,"&lt;&gt;#NV",BK50:BK61)</f>
        <v>0</v>
      </c>
      <c r="BM50" s="104" t="e">
        <f t="shared" ca="1" si="27"/>
        <v>#N/A</v>
      </c>
      <c r="BN50" s="40" t="e">
        <f ca="1">IF(ISNUMBER(BK50),BN49+SUMIF(BK50:BK61,"&lt;&gt;#NV",BK50:BK61)/COUNTIF(BK50:BK61,"&lt;&gt;#NV"),#N/A)</f>
        <v>#N/A</v>
      </c>
      <c r="BO50" s="10" t="e">
        <f t="shared" ca="1" si="129"/>
        <v>#N/A</v>
      </c>
      <c r="BP50" s="105" t="e">
        <f t="shared" ref="BP50:BP113" ca="1" si="136">BP49+BO50</f>
        <v>#N/A</v>
      </c>
      <c r="BQ50" s="104">
        <f t="shared" ca="1" si="126"/>
        <v>-61993.502546999953</v>
      </c>
      <c r="BR50" s="10">
        <f t="shared" si="12"/>
        <v>9.9166666666666661</v>
      </c>
      <c r="BS50" s="311"/>
      <c r="BT50" s="307"/>
      <c r="BU50" s="295">
        <f t="shared" si="13"/>
        <v>0</v>
      </c>
      <c r="BV50" s="322">
        <f>SUM(BU50:BU61)</f>
        <v>0</v>
      </c>
      <c r="BW50" s="300">
        <f t="shared" si="14"/>
        <v>0</v>
      </c>
      <c r="BX50" s="305">
        <f t="shared" si="15"/>
        <v>0</v>
      </c>
      <c r="BY50" s="381">
        <f>SUM(BX50:BX61)</f>
        <v>0</v>
      </c>
      <c r="BZ50" s="300">
        <f t="shared" si="30"/>
        <v>0</v>
      </c>
      <c r="CA50" s="295">
        <f t="shared" si="42"/>
        <v>0</v>
      </c>
      <c r="CB50" s="322">
        <f>SUM(CA50:CA61)</f>
        <v>0</v>
      </c>
      <c r="CC50" s="314">
        <f t="shared" si="76"/>
        <v>0</v>
      </c>
      <c r="CD50" s="325">
        <f>SUM(CC50:CC61)</f>
        <v>0</v>
      </c>
      <c r="CE50" s="299">
        <f t="shared" si="17"/>
        <v>0</v>
      </c>
      <c r="CF50" s="284">
        <f t="shared" si="77"/>
        <v>0</v>
      </c>
      <c r="CG50" s="328">
        <f>SUM(CF50:CF61)</f>
        <v>0</v>
      </c>
      <c r="CH50" s="302">
        <f t="shared" si="58"/>
        <v>0</v>
      </c>
      <c r="CI50" s="108">
        <f t="shared" si="19"/>
        <v>0</v>
      </c>
      <c r="CJ50" s="201">
        <f t="shared" si="20"/>
        <v>0</v>
      </c>
      <c r="CK50" s="197">
        <f t="shared" si="51"/>
        <v>0</v>
      </c>
      <c r="CL50" s="203">
        <f t="shared" si="21"/>
        <v>12</v>
      </c>
      <c r="CM50" s="4">
        <f>U50*Jahresdaten!$AD$2</f>
        <v>0</v>
      </c>
      <c r="CN50" s="112">
        <f>CJ50*Jahresdaten!$AD$2</f>
        <v>0</v>
      </c>
      <c r="CO50" s="365">
        <f>CW50*Jahresdaten!$AD$2</f>
        <v>856.59076092206669</v>
      </c>
      <c r="CP50" s="116">
        <f>U50*Jahresdaten!$AD$3</f>
        <v>0</v>
      </c>
      <c r="CQ50" s="12">
        <f>CJ50*Jahresdaten!$AD$3</f>
        <v>0</v>
      </c>
      <c r="CR50" s="367">
        <f>CW50*Jahresdaten!$AD$3</f>
        <v>312.40923907793319</v>
      </c>
      <c r="CS50" s="14">
        <f>CS38</f>
        <v>1169</v>
      </c>
      <c r="CT50" s="136">
        <f>CT38</f>
        <v>12</v>
      </c>
      <c r="CU50" s="140">
        <f>IF(CT50=0,"",CT50*'Vergleich Holz Strom'!$B$2)</f>
        <v>25800</v>
      </c>
      <c r="CV50" s="120" t="s">
        <v>7</v>
      </c>
      <c r="CW50" s="365">
        <f>CV51+CV57</f>
        <v>1169</v>
      </c>
      <c r="CX50" s="344">
        <f>SUM(CS50:CS61)/SUM(CU50:CU61)*(SUM(CU50:CU61)+(V50*('Vergleich Holz Strom'!$B$8-0.6)/'Vergleich Holz Strom'!$E$6))</f>
        <v>1169</v>
      </c>
      <c r="CY50" s="344">
        <f>SUM(CU50:CU61)*'Vergleich Holz Strom'!$E$6/('Vergleich Holz Strom'!$B$8-0.6)*(SUM(AJ50:AJ61)/12)+CV51</f>
        <v>1420.8970588235295</v>
      </c>
      <c r="CZ50" s="344">
        <f>SUM(CU50:CU61)*'Vergleich Holz Strom'!$E$6/('Vergleich Holz Strom'!$B$8-0.6)*SUM(AM50:AM61)/12+SUM(CK50:CK61)</f>
        <v>517.25659724176774</v>
      </c>
      <c r="DA50" s="347">
        <f>SUM(CU50:CU61)*'Vergleich Holz Strom'!$E$6/('Vergleich Holz Strom'!$B$8-0.6)*(SUM(AO50:AO61)/12)+SUM(CL50:CL61)</f>
        <v>1264.7823529411764</v>
      </c>
      <c r="DB50" s="94"/>
      <c r="DC50" s="88">
        <f t="shared" si="53"/>
        <v>6569.5946666666641</v>
      </c>
      <c r="DD50" s="94"/>
      <c r="DE50" s="88">
        <f t="shared" si="56"/>
        <v>-4400.1125469999997</v>
      </c>
      <c r="DF50" s="100" t="e">
        <f ca="1">BE50+(SUM(CS50:CS61)/12)</f>
        <v>#N/A</v>
      </c>
      <c r="DG50" s="350">
        <f ca="1">SUMIF(DF50:DF61,"&gt;0")</f>
        <v>0</v>
      </c>
      <c r="DH50" s="8">
        <f>M50+S50+U50</f>
        <v>0</v>
      </c>
      <c r="DI50" s="123">
        <f t="shared" ref="DI50:DI113" si="137">DK50+DN50+DQ50</f>
        <v>1850</v>
      </c>
      <c r="DJ50" s="2">
        <f>M50</f>
        <v>0</v>
      </c>
      <c r="DK50" s="127">
        <f>DK61/12*1</f>
        <v>650</v>
      </c>
      <c r="DL50" s="2">
        <f>DL49</f>
        <v>650</v>
      </c>
      <c r="DM50" s="130">
        <f>S50</f>
        <v>0</v>
      </c>
      <c r="DN50" s="3">
        <f>DN61/12*1</f>
        <v>250</v>
      </c>
      <c r="DO50" s="130">
        <f>DO49</f>
        <v>250</v>
      </c>
      <c r="DP50" s="4">
        <f>U50</f>
        <v>0</v>
      </c>
      <c r="DQ50" s="116">
        <f>DR50</f>
        <v>950</v>
      </c>
      <c r="DR50" s="116">
        <f>DR38</f>
        <v>950</v>
      </c>
    </row>
    <row r="51" spans="1:122" ht="14.25" customHeight="1" thickBot="1" x14ac:dyDescent="0.2">
      <c r="A51" s="416"/>
      <c r="B51" s="16">
        <v>44866</v>
      </c>
      <c r="C51" s="207">
        <f>'PV-Felder'!$I$12</f>
        <v>739.6</v>
      </c>
      <c r="D51" s="351"/>
      <c r="E51" s="61">
        <v>0</v>
      </c>
      <c r="F51" s="351"/>
      <c r="G51" s="56" t="e">
        <f t="shared" ca="1" si="0"/>
        <v>#N/A</v>
      </c>
      <c r="H51" s="351"/>
      <c r="I51" s="61">
        <v>0</v>
      </c>
      <c r="J51" s="351"/>
      <c r="K51" s="61">
        <v>0</v>
      </c>
      <c r="L51" s="351"/>
      <c r="M51" s="65">
        <f t="shared" si="1"/>
        <v>0</v>
      </c>
      <c r="N51" s="373"/>
      <c r="O51" s="288"/>
      <c r="P51" s="288"/>
      <c r="Q51" s="286">
        <f t="shared" si="2"/>
        <v>0</v>
      </c>
      <c r="R51" s="334"/>
      <c r="S51" s="61">
        <v>0</v>
      </c>
      <c r="T51" s="376"/>
      <c r="U51" s="61">
        <v>0</v>
      </c>
      <c r="V51" s="342"/>
      <c r="W51" s="61">
        <v>0</v>
      </c>
      <c r="X51" s="342"/>
      <c r="Y51" s="211" t="e">
        <f t="shared" si="106"/>
        <v>#N/A</v>
      </c>
      <c r="Z51" s="370"/>
      <c r="AA51" s="61">
        <v>0</v>
      </c>
      <c r="AB51" s="351"/>
      <c r="AC51" s="61">
        <v>0</v>
      </c>
      <c r="AD51" s="351"/>
      <c r="AE51" s="73" t="e">
        <f t="shared" si="131"/>
        <v>#N/A</v>
      </c>
      <c r="AF51" s="356"/>
      <c r="AG51" s="73" t="e">
        <f t="shared" si="132"/>
        <v>#N/A</v>
      </c>
      <c r="AH51" s="356"/>
      <c r="AI51" s="221">
        <f>AI50</f>
        <v>29.26</v>
      </c>
      <c r="AJ51" s="78">
        <f t="shared" ref="AJ51:AP61" si="138">AJ50</f>
        <v>0.26750000000000002</v>
      </c>
      <c r="AK51" s="79">
        <f t="shared" si="138"/>
        <v>9.9166666666666661</v>
      </c>
      <c r="AL51" s="80">
        <f t="shared" si="138"/>
        <v>187</v>
      </c>
      <c r="AM51" s="78">
        <f t="shared" si="138"/>
        <v>9.737942583732058E-2</v>
      </c>
      <c r="AN51" s="80">
        <f t="shared" si="138"/>
        <v>143</v>
      </c>
      <c r="AO51" s="78">
        <f>AO50</f>
        <v>0.21099999999999999</v>
      </c>
      <c r="AP51" s="88">
        <f>AP50</f>
        <v>12</v>
      </c>
      <c r="AQ51" s="64">
        <f t="shared" si="47"/>
        <v>21.5</v>
      </c>
      <c r="AR51" s="64">
        <f t="shared" si="48"/>
        <v>11.5</v>
      </c>
      <c r="AS51" s="88">
        <f t="shared" si="50"/>
        <v>1.1830000000000001</v>
      </c>
      <c r="AT51" s="91">
        <f t="shared" si="89"/>
        <v>283</v>
      </c>
      <c r="AU51" s="94"/>
      <c r="AV51" s="95"/>
      <c r="AW51" s="56">
        <f t="shared" si="4"/>
        <v>0</v>
      </c>
      <c r="AX51" s="351"/>
      <c r="AY51" s="100">
        <f t="shared" si="52"/>
        <v>9.9166666666666661</v>
      </c>
      <c r="AZ51" s="360"/>
      <c r="BA51" s="91">
        <f t="shared" ref="BA51:BA61" si="139">BA50-AY51</f>
        <v>-421.11254700000023</v>
      </c>
      <c r="BB51" s="5">
        <f t="shared" si="134"/>
        <v>-9.9166666666666661</v>
      </c>
      <c r="BC51" s="363"/>
      <c r="BD51" s="91" t="e">
        <f t="shared" ca="1" si="6"/>
        <v>#N/A</v>
      </c>
      <c r="BE51" s="91" t="e">
        <f t="shared" ca="1" si="7"/>
        <v>#N/A</v>
      </c>
      <c r="BF51" s="91">
        <f t="shared" si="8"/>
        <v>31.833333333333329</v>
      </c>
      <c r="BG51" s="91" t="e">
        <f t="shared" ca="1" si="9"/>
        <v>#N/A</v>
      </c>
      <c r="BH51" s="91" t="e">
        <f t="shared" ca="1" si="61"/>
        <v>#N/A</v>
      </c>
      <c r="BI51" s="10" t="e">
        <f t="shared" ca="1" si="40"/>
        <v>#N/A</v>
      </c>
      <c r="BJ51" s="104">
        <f>((M51+Q51)*AJ51+AK51)+((U51-W51+W51/('Vergleich Holz Strom'!$B$8-0.6))*AO51+AP51)</f>
        <v>21.916666666666664</v>
      </c>
      <c r="BK51" s="10" t="e">
        <f t="shared" ca="1" si="135"/>
        <v>#N/A</v>
      </c>
      <c r="BL51" s="379"/>
      <c r="BM51" s="104" t="e">
        <f t="shared" ca="1" si="27"/>
        <v>#N/A</v>
      </c>
      <c r="BN51" s="40" t="e">
        <f ca="1">IF(ISNUMBER(BK51),BN50+SUMIF(BK50:BK61,"&lt;&gt;#NV",BK50:BK61)/COUNTIF(BK50:BK61,"&lt;&gt;#NV"),#N/A)</f>
        <v>#N/A</v>
      </c>
      <c r="BO51" s="10" t="e">
        <f t="shared" ca="1" si="129"/>
        <v>#N/A</v>
      </c>
      <c r="BP51" s="104" t="e">
        <f t="shared" ca="1" si="136"/>
        <v>#N/A</v>
      </c>
      <c r="BQ51" s="104">
        <f t="shared" ca="1" si="126"/>
        <v>-61981.502546999953</v>
      </c>
      <c r="BR51" s="10">
        <f t="shared" si="12"/>
        <v>9.9166666666666661</v>
      </c>
      <c r="BS51" s="311"/>
      <c r="BT51" s="307"/>
      <c r="BU51" s="295">
        <f t="shared" si="13"/>
        <v>0</v>
      </c>
      <c r="BV51" s="323"/>
      <c r="BW51" s="299">
        <f t="shared" si="14"/>
        <v>0</v>
      </c>
      <c r="BX51" s="295">
        <f t="shared" si="15"/>
        <v>0</v>
      </c>
      <c r="BY51" s="382"/>
      <c r="BZ51" s="299">
        <f t="shared" si="30"/>
        <v>0</v>
      </c>
      <c r="CA51" s="295">
        <f t="shared" si="42"/>
        <v>0</v>
      </c>
      <c r="CB51" s="323"/>
      <c r="CC51" s="314">
        <f>Q51/AQ51*100+BS51/AQ51*100</f>
        <v>0</v>
      </c>
      <c r="CD51" s="326"/>
      <c r="CE51" s="299">
        <f t="shared" si="17"/>
        <v>0</v>
      </c>
      <c r="CF51" s="284">
        <f>CE51-CA51</f>
        <v>0</v>
      </c>
      <c r="CG51" s="323"/>
      <c r="CH51" s="302">
        <f t="shared" si="58"/>
        <v>0</v>
      </c>
      <c r="CI51" s="108">
        <f t="shared" si="19"/>
        <v>0</v>
      </c>
      <c r="CJ51" s="200">
        <f t="shared" si="20"/>
        <v>0</v>
      </c>
      <c r="CK51" s="197">
        <f t="shared" si="51"/>
        <v>0</v>
      </c>
      <c r="CL51" s="203">
        <f t="shared" si="21"/>
        <v>12</v>
      </c>
      <c r="CM51" s="4">
        <f>U51*Jahresdaten!$AD$2</f>
        <v>0</v>
      </c>
      <c r="CN51" s="112">
        <f>CJ51*Jahresdaten!$AD$2</f>
        <v>0</v>
      </c>
      <c r="CO51" s="366"/>
      <c r="CP51" s="116">
        <f>U51*Jahresdaten!$AD$3</f>
        <v>0</v>
      </c>
      <c r="CQ51" s="12">
        <f>CJ51*Jahresdaten!$AD$3</f>
        <v>0</v>
      </c>
      <c r="CR51" s="353"/>
      <c r="CS51" s="14"/>
      <c r="CT51" s="136"/>
      <c r="CU51" s="140" t="str">
        <f>IF(CT51=0,"",CT51*'Vergleich Holz Strom'!$B$2)</f>
        <v/>
      </c>
      <c r="CV51" s="353">
        <f>SUM(CJ50:CJ61)</f>
        <v>0</v>
      </c>
      <c r="CW51" s="366"/>
      <c r="CX51" s="345"/>
      <c r="CY51" s="345"/>
      <c r="CZ51" s="345"/>
      <c r="DA51" s="348"/>
      <c r="DB51" s="94"/>
      <c r="DC51" s="88">
        <f t="shared" si="53"/>
        <v>6746.6779999999972</v>
      </c>
      <c r="DD51" s="94"/>
      <c r="DE51" s="88">
        <f t="shared" si="56"/>
        <v>-4543.1125469999997</v>
      </c>
      <c r="DF51" s="100" t="e">
        <f ca="1">BE51+(SUM(CS50:CS61)/12)</f>
        <v>#N/A</v>
      </c>
      <c r="DG51" s="351"/>
      <c r="DH51" s="8">
        <f t="shared" ref="DH51:DH61" si="140">DH50+M51+S51+U51</f>
        <v>0</v>
      </c>
      <c r="DI51" s="123">
        <f t="shared" si="137"/>
        <v>3550</v>
      </c>
      <c r="DJ51" s="2">
        <f t="shared" ref="DJ51:DJ61" si="141">DJ50+M51</f>
        <v>0</v>
      </c>
      <c r="DK51" s="127">
        <f>DK61/12*2</f>
        <v>1300</v>
      </c>
      <c r="DL51" s="2">
        <f t="shared" si="114"/>
        <v>650</v>
      </c>
      <c r="DM51" s="130">
        <f t="shared" ref="DM51:DM61" si="142">DM50+S51</f>
        <v>0</v>
      </c>
      <c r="DN51" s="3">
        <f>DN61/12*2</f>
        <v>500</v>
      </c>
      <c r="DO51" s="130">
        <f t="shared" si="116"/>
        <v>250</v>
      </c>
      <c r="DP51" s="4">
        <f t="shared" ref="DP51:DP61" si="143">DP50+U51</f>
        <v>0</v>
      </c>
      <c r="DQ51" s="116">
        <f t="shared" ref="DQ51:DQ60" si="144">DQ50+DR51</f>
        <v>1750</v>
      </c>
      <c r="DR51" s="116">
        <f>DR39</f>
        <v>800</v>
      </c>
    </row>
    <row r="52" spans="1:122" ht="14.25" customHeight="1" thickBot="1" x14ac:dyDescent="0.2">
      <c r="A52" s="416"/>
      <c r="B52" s="16">
        <v>44896</v>
      </c>
      <c r="C52" s="207">
        <f>'PV-Felder'!$I$13</f>
        <v>559.9</v>
      </c>
      <c r="D52" s="351"/>
      <c r="E52" s="61">
        <v>0</v>
      </c>
      <c r="F52" s="351"/>
      <c r="G52" s="56" t="e">
        <f t="shared" ca="1" si="0"/>
        <v>#N/A</v>
      </c>
      <c r="H52" s="351"/>
      <c r="I52" s="61">
        <v>0</v>
      </c>
      <c r="J52" s="351"/>
      <c r="K52" s="61">
        <v>0</v>
      </c>
      <c r="L52" s="351"/>
      <c r="M52" s="65">
        <f t="shared" si="1"/>
        <v>0</v>
      </c>
      <c r="N52" s="373"/>
      <c r="O52" s="288"/>
      <c r="P52" s="288"/>
      <c r="Q52" s="286">
        <f t="shared" si="2"/>
        <v>0</v>
      </c>
      <c r="R52" s="334"/>
      <c r="S52" s="61">
        <v>0</v>
      </c>
      <c r="T52" s="376"/>
      <c r="U52" s="61">
        <v>0</v>
      </c>
      <c r="V52" s="342"/>
      <c r="W52" s="61">
        <v>0</v>
      </c>
      <c r="X52" s="342"/>
      <c r="Y52" s="211" t="e">
        <f t="shared" si="106"/>
        <v>#N/A</v>
      </c>
      <c r="Z52" s="370"/>
      <c r="AA52" s="61">
        <v>0</v>
      </c>
      <c r="AB52" s="351"/>
      <c r="AC52" s="61">
        <v>0</v>
      </c>
      <c r="AD52" s="351"/>
      <c r="AE52" s="73" t="e">
        <f t="shared" si="131"/>
        <v>#N/A</v>
      </c>
      <c r="AF52" s="356"/>
      <c r="AG52" s="73" t="e">
        <f t="shared" si="132"/>
        <v>#N/A</v>
      </c>
      <c r="AH52" s="356"/>
      <c r="AI52" s="221">
        <f t="shared" ref="AI52:AI60" si="145">AI51</f>
        <v>29.26</v>
      </c>
      <c r="AJ52" s="78">
        <f t="shared" ref="AJ52:AM52" si="146">AJ51</f>
        <v>0.26750000000000002</v>
      </c>
      <c r="AK52" s="79">
        <f t="shared" si="146"/>
        <v>9.9166666666666661</v>
      </c>
      <c r="AL52" s="80">
        <f t="shared" si="146"/>
        <v>187</v>
      </c>
      <c r="AM52" s="78">
        <f t="shared" si="146"/>
        <v>9.737942583732058E-2</v>
      </c>
      <c r="AN52" s="80">
        <f t="shared" si="138"/>
        <v>143</v>
      </c>
      <c r="AO52" s="78">
        <f>AO51</f>
        <v>0.21099999999999999</v>
      </c>
      <c r="AP52" s="88">
        <f>AP51</f>
        <v>12</v>
      </c>
      <c r="AQ52" s="64">
        <f t="shared" si="47"/>
        <v>21.5</v>
      </c>
      <c r="AR52" s="64">
        <f t="shared" si="48"/>
        <v>11.5</v>
      </c>
      <c r="AS52" s="88">
        <f t="shared" si="50"/>
        <v>1.1830000000000001</v>
      </c>
      <c r="AT52" s="91">
        <f t="shared" si="89"/>
        <v>283</v>
      </c>
      <c r="AU52" s="94"/>
      <c r="AV52" s="95"/>
      <c r="AW52" s="56">
        <f t="shared" si="4"/>
        <v>0</v>
      </c>
      <c r="AX52" s="351"/>
      <c r="AY52" s="100">
        <f t="shared" si="52"/>
        <v>9.9166666666666661</v>
      </c>
      <c r="AZ52" s="360"/>
      <c r="BA52" s="91">
        <f t="shared" si="139"/>
        <v>-431.02921366666692</v>
      </c>
      <c r="BB52" s="5">
        <f t="shared" si="134"/>
        <v>-9.9166666666666661</v>
      </c>
      <c r="BC52" s="363"/>
      <c r="BD52" s="91" t="e">
        <f t="shared" ca="1" si="6"/>
        <v>#N/A</v>
      </c>
      <c r="BE52" s="91" t="e">
        <f t="shared" ca="1" si="7"/>
        <v>#N/A</v>
      </c>
      <c r="BF52" s="91">
        <f t="shared" si="8"/>
        <v>31.833333333333329</v>
      </c>
      <c r="BG52" s="91" t="e">
        <f t="shared" ca="1" si="9"/>
        <v>#N/A</v>
      </c>
      <c r="BH52" s="91" t="e">
        <f t="shared" ca="1" si="61"/>
        <v>#N/A</v>
      </c>
      <c r="BI52" s="10" t="e">
        <f t="shared" ca="1" si="40"/>
        <v>#N/A</v>
      </c>
      <c r="BJ52" s="104">
        <f>((M52+Q52)*AJ52+AK52)+((U52-W52+W52/('Vergleich Holz Strom'!$B$8-0.6))*AO52+AP52)</f>
        <v>21.916666666666664</v>
      </c>
      <c r="BK52" s="10" t="e">
        <f t="shared" ca="1" si="135"/>
        <v>#N/A</v>
      </c>
      <c r="BL52" s="379"/>
      <c r="BM52" s="104" t="e">
        <f t="shared" ca="1" si="27"/>
        <v>#N/A</v>
      </c>
      <c r="BN52" s="40" t="e">
        <f ca="1">IF(ISNUMBER(BK52),BN51+SUMIF(BK50:BK61,"&lt;&gt;#NV",BK50:BK61)/COUNTIF(BK50:BK61,"&lt;&gt;#NV"),#N/A)</f>
        <v>#N/A</v>
      </c>
      <c r="BO52" s="10" t="e">
        <f t="shared" ca="1" si="129"/>
        <v>#N/A</v>
      </c>
      <c r="BP52" s="104" t="e">
        <f t="shared" ca="1" si="136"/>
        <v>#N/A</v>
      </c>
      <c r="BQ52" s="104">
        <f t="shared" ca="1" si="126"/>
        <v>-61969.502546999953</v>
      </c>
      <c r="BR52" s="10">
        <f t="shared" si="12"/>
        <v>9.9166666666666661</v>
      </c>
      <c r="BS52" s="311"/>
      <c r="BT52" s="307"/>
      <c r="BU52" s="295">
        <f t="shared" si="13"/>
        <v>0</v>
      </c>
      <c r="BV52" s="323"/>
      <c r="BW52" s="299">
        <f t="shared" si="14"/>
        <v>0</v>
      </c>
      <c r="BX52" s="295">
        <f t="shared" si="15"/>
        <v>0</v>
      </c>
      <c r="BY52" s="382"/>
      <c r="BZ52" s="299">
        <f t="shared" si="30"/>
        <v>0</v>
      </c>
      <c r="CA52" s="295">
        <f t="shared" si="42"/>
        <v>0</v>
      </c>
      <c r="CB52" s="323"/>
      <c r="CC52" s="314">
        <f t="shared" si="76"/>
        <v>0</v>
      </c>
      <c r="CD52" s="326"/>
      <c r="CE52" s="299">
        <f t="shared" si="17"/>
        <v>0</v>
      </c>
      <c r="CF52" s="284">
        <f t="shared" si="77"/>
        <v>0</v>
      </c>
      <c r="CG52" s="323"/>
      <c r="CH52" s="302">
        <f t="shared" si="58"/>
        <v>0</v>
      </c>
      <c r="CI52" s="108">
        <f t="shared" si="19"/>
        <v>0</v>
      </c>
      <c r="CJ52" s="200">
        <f t="shared" si="20"/>
        <v>0</v>
      </c>
      <c r="CK52" s="197">
        <f t="shared" si="51"/>
        <v>0</v>
      </c>
      <c r="CL52" s="203">
        <f t="shared" si="21"/>
        <v>12</v>
      </c>
      <c r="CM52" s="4">
        <f>U52*Jahresdaten!$AD$2</f>
        <v>0</v>
      </c>
      <c r="CN52" s="112">
        <f>CJ52*Jahresdaten!$AD$2</f>
        <v>0</v>
      </c>
      <c r="CO52" s="366"/>
      <c r="CP52" s="116">
        <f>U52*Jahresdaten!$AD$3</f>
        <v>0</v>
      </c>
      <c r="CQ52" s="12">
        <f>CJ52*Jahresdaten!$AD$3</f>
        <v>0</v>
      </c>
      <c r="CR52" s="353"/>
      <c r="CS52" s="14"/>
      <c r="CT52" s="136"/>
      <c r="CU52" s="140" t="str">
        <f>IF(CT52=0,"",CT52*'Vergleich Holz Strom'!$B$2)</f>
        <v/>
      </c>
      <c r="CV52" s="353"/>
      <c r="CW52" s="366"/>
      <c r="CX52" s="345"/>
      <c r="CY52" s="345"/>
      <c r="CZ52" s="345"/>
      <c r="DA52" s="348"/>
      <c r="DB52" s="94"/>
      <c r="DC52" s="88">
        <f t="shared" si="53"/>
        <v>6923.7613333333302</v>
      </c>
      <c r="DD52" s="94"/>
      <c r="DE52" s="88">
        <f t="shared" si="56"/>
        <v>-4686.1125469999997</v>
      </c>
      <c r="DF52" s="100" t="e">
        <f ca="1">BE52+(SUM(CS50:CS61)/12)</f>
        <v>#N/A</v>
      </c>
      <c r="DG52" s="351"/>
      <c r="DH52" s="8">
        <f t="shared" si="140"/>
        <v>0</v>
      </c>
      <c r="DI52" s="123">
        <f t="shared" si="137"/>
        <v>5300</v>
      </c>
      <c r="DJ52" s="2">
        <f t="shared" si="141"/>
        <v>0</v>
      </c>
      <c r="DK52" s="127">
        <f>DK61/12*3</f>
        <v>1950</v>
      </c>
      <c r="DL52" s="2">
        <f t="shared" si="114"/>
        <v>650</v>
      </c>
      <c r="DM52" s="130">
        <f t="shared" si="142"/>
        <v>0</v>
      </c>
      <c r="DN52" s="3">
        <f>DN61/12*3</f>
        <v>750</v>
      </c>
      <c r="DO52" s="130">
        <f t="shared" si="116"/>
        <v>250</v>
      </c>
      <c r="DP52" s="4">
        <f t="shared" si="143"/>
        <v>0</v>
      </c>
      <c r="DQ52" s="116">
        <f t="shared" si="144"/>
        <v>2600</v>
      </c>
      <c r="DR52" s="116">
        <f t="shared" ref="DR52:DR60" si="147">DR40</f>
        <v>850.00000000000011</v>
      </c>
    </row>
    <row r="53" spans="1:122" ht="14.25" customHeight="1" thickBot="1" x14ac:dyDescent="0.2">
      <c r="A53" s="416"/>
      <c r="B53" s="16">
        <v>44927</v>
      </c>
      <c r="C53" s="207">
        <f>'PV-Felder'!$I$2</f>
        <v>660.80000000000007</v>
      </c>
      <c r="D53" s="351"/>
      <c r="E53" s="61">
        <v>0</v>
      </c>
      <c r="F53" s="351"/>
      <c r="G53" s="56" t="e">
        <f t="shared" ca="1" si="0"/>
        <v>#N/A</v>
      </c>
      <c r="H53" s="351"/>
      <c r="I53" s="61">
        <v>0</v>
      </c>
      <c r="J53" s="351"/>
      <c r="K53" s="61">
        <v>0</v>
      </c>
      <c r="L53" s="351"/>
      <c r="M53" s="65">
        <f t="shared" si="1"/>
        <v>0</v>
      </c>
      <c r="N53" s="373"/>
      <c r="O53" s="288"/>
      <c r="P53" s="288"/>
      <c r="Q53" s="286">
        <f t="shared" si="2"/>
        <v>0</v>
      </c>
      <c r="R53" s="334"/>
      <c r="S53" s="61">
        <v>0</v>
      </c>
      <c r="T53" s="376"/>
      <c r="U53" s="61">
        <v>0</v>
      </c>
      <c r="V53" s="342"/>
      <c r="W53" s="61">
        <v>0</v>
      </c>
      <c r="X53" s="342"/>
      <c r="Y53" s="211" t="e">
        <f t="shared" si="106"/>
        <v>#N/A</v>
      </c>
      <c r="Z53" s="370"/>
      <c r="AA53" s="61">
        <v>0</v>
      </c>
      <c r="AB53" s="351"/>
      <c r="AC53" s="61">
        <v>0</v>
      </c>
      <c r="AD53" s="351"/>
      <c r="AE53" s="73" t="e">
        <f t="shared" si="131"/>
        <v>#N/A</v>
      </c>
      <c r="AF53" s="356"/>
      <c r="AG53" s="73" t="e">
        <f t="shared" si="132"/>
        <v>#N/A</v>
      </c>
      <c r="AH53" s="356"/>
      <c r="AI53" s="221">
        <f t="shared" si="145"/>
        <v>29.26</v>
      </c>
      <c r="AJ53" s="78">
        <f t="shared" ref="AJ53:AM53" si="148">AJ52</f>
        <v>0.26750000000000002</v>
      </c>
      <c r="AK53" s="79">
        <f t="shared" si="148"/>
        <v>9.9166666666666661</v>
      </c>
      <c r="AL53" s="80">
        <f t="shared" si="148"/>
        <v>187</v>
      </c>
      <c r="AM53" s="78">
        <f t="shared" si="148"/>
        <v>9.737942583732058E-2</v>
      </c>
      <c r="AN53" s="80">
        <f t="shared" si="138"/>
        <v>143</v>
      </c>
      <c r="AO53" s="78">
        <f t="shared" si="138"/>
        <v>0.21099999999999999</v>
      </c>
      <c r="AP53" s="88">
        <f t="shared" si="138"/>
        <v>12</v>
      </c>
      <c r="AQ53" s="64">
        <f t="shared" si="47"/>
        <v>21.5</v>
      </c>
      <c r="AR53" s="64">
        <f t="shared" si="48"/>
        <v>11.5</v>
      </c>
      <c r="AS53" s="88">
        <f t="shared" si="50"/>
        <v>1.1830000000000001</v>
      </c>
      <c r="AT53" s="91">
        <f t="shared" si="89"/>
        <v>283</v>
      </c>
      <c r="AU53" s="94"/>
      <c r="AV53" s="95"/>
      <c r="AW53" s="56">
        <f t="shared" si="4"/>
        <v>0</v>
      </c>
      <c r="AX53" s="351"/>
      <c r="AY53" s="100">
        <f t="shared" si="52"/>
        <v>9.9166666666666661</v>
      </c>
      <c r="AZ53" s="360"/>
      <c r="BA53" s="91">
        <f t="shared" si="139"/>
        <v>-440.9458803333336</v>
      </c>
      <c r="BB53" s="5">
        <f t="shared" si="134"/>
        <v>-9.9166666666666661</v>
      </c>
      <c r="BC53" s="363"/>
      <c r="BD53" s="91" t="e">
        <f t="shared" ca="1" si="6"/>
        <v>#N/A</v>
      </c>
      <c r="BE53" s="91" t="e">
        <f t="shared" ca="1" si="7"/>
        <v>#N/A</v>
      </c>
      <c r="BF53" s="91">
        <f t="shared" si="8"/>
        <v>31.833333333333329</v>
      </c>
      <c r="BG53" s="91" t="e">
        <f t="shared" ca="1" si="9"/>
        <v>#N/A</v>
      </c>
      <c r="BH53" s="91" t="e">
        <f t="shared" ca="1" si="61"/>
        <v>#N/A</v>
      </c>
      <c r="BI53" s="10" t="e">
        <f t="shared" ca="1" si="40"/>
        <v>#N/A</v>
      </c>
      <c r="BJ53" s="104">
        <f>((M53+Q53)*AJ53+AK53)+((U53-W53+W53/('Vergleich Holz Strom'!$B$8-0.6))*AO53+AP53)</f>
        <v>21.916666666666664</v>
      </c>
      <c r="BK53" s="10" t="e">
        <f t="shared" ca="1" si="135"/>
        <v>#N/A</v>
      </c>
      <c r="BL53" s="379"/>
      <c r="BM53" s="104" t="e">
        <f t="shared" ca="1" si="27"/>
        <v>#N/A</v>
      </c>
      <c r="BN53" s="40" t="e">
        <f ca="1">IF(ISNUMBER(BK53),BN52+SUMIF(BK50:BK61,"&lt;&gt;#NV",BK50:BK61)/COUNTIF(BK50:BK61,"&lt;&gt;#NV"),#N/A)</f>
        <v>#N/A</v>
      </c>
      <c r="BO53" s="10" t="e">
        <f t="shared" ca="1" si="129"/>
        <v>#N/A</v>
      </c>
      <c r="BP53" s="104" t="e">
        <f t="shared" ca="1" si="136"/>
        <v>#N/A</v>
      </c>
      <c r="BQ53" s="104">
        <f t="shared" ca="1" si="126"/>
        <v>-61957.502546999953</v>
      </c>
      <c r="BR53" s="10">
        <f t="shared" si="12"/>
        <v>9.9166666666666661</v>
      </c>
      <c r="BS53" s="311"/>
      <c r="BT53" s="307"/>
      <c r="BU53" s="295">
        <f t="shared" si="13"/>
        <v>0</v>
      </c>
      <c r="BV53" s="323"/>
      <c r="BW53" s="299">
        <f t="shared" si="14"/>
        <v>0</v>
      </c>
      <c r="BX53" s="295">
        <f t="shared" si="15"/>
        <v>0</v>
      </c>
      <c r="BY53" s="382"/>
      <c r="BZ53" s="299">
        <f t="shared" si="30"/>
        <v>0</v>
      </c>
      <c r="CA53" s="295">
        <f t="shared" si="42"/>
        <v>0</v>
      </c>
      <c r="CB53" s="323"/>
      <c r="CC53" s="314">
        <f t="shared" si="76"/>
        <v>0</v>
      </c>
      <c r="CD53" s="326"/>
      <c r="CE53" s="299">
        <f t="shared" si="17"/>
        <v>0</v>
      </c>
      <c r="CF53" s="284">
        <f t="shared" si="77"/>
        <v>0</v>
      </c>
      <c r="CG53" s="323"/>
      <c r="CH53" s="302">
        <f t="shared" si="58"/>
        <v>0</v>
      </c>
      <c r="CI53" s="108">
        <f t="shared" si="19"/>
        <v>0</v>
      </c>
      <c r="CJ53" s="200">
        <f t="shared" si="20"/>
        <v>0</v>
      </c>
      <c r="CK53" s="197">
        <f t="shared" si="51"/>
        <v>0</v>
      </c>
      <c r="CL53" s="203">
        <f t="shared" si="21"/>
        <v>12</v>
      </c>
      <c r="CM53" s="4">
        <f>U53*Jahresdaten!$AD$2</f>
        <v>0</v>
      </c>
      <c r="CN53" s="112">
        <f>CJ53*Jahresdaten!$AD$2</f>
        <v>0</v>
      </c>
      <c r="CO53" s="366"/>
      <c r="CP53" s="116">
        <f>U53*Jahresdaten!$AD$3</f>
        <v>0</v>
      </c>
      <c r="CQ53" s="12">
        <f>CJ53*Jahresdaten!$AD$3</f>
        <v>0</v>
      </c>
      <c r="CR53" s="353"/>
      <c r="CS53" s="14"/>
      <c r="CT53" s="136"/>
      <c r="CU53" s="140" t="str">
        <f>IF(CT53=0,"",CT53*'Vergleich Holz Strom'!$B$2)</f>
        <v/>
      </c>
      <c r="CV53" s="353"/>
      <c r="CW53" s="366"/>
      <c r="CX53" s="345"/>
      <c r="CY53" s="345"/>
      <c r="CZ53" s="345"/>
      <c r="DA53" s="348"/>
      <c r="DB53" s="94"/>
      <c r="DC53" s="88">
        <f t="shared" si="53"/>
        <v>7100.8446666666632</v>
      </c>
      <c r="DD53" s="94"/>
      <c r="DE53" s="88">
        <f t="shared" si="56"/>
        <v>-4829.1125469999997</v>
      </c>
      <c r="DF53" s="100" t="e">
        <f ca="1">BE53+(SUM(CS50:CS61)/12)</f>
        <v>#N/A</v>
      </c>
      <c r="DG53" s="351"/>
      <c r="DH53" s="8">
        <f t="shared" si="140"/>
        <v>0</v>
      </c>
      <c r="DI53" s="123">
        <f t="shared" si="137"/>
        <v>7350</v>
      </c>
      <c r="DJ53" s="2">
        <f t="shared" si="141"/>
        <v>0</v>
      </c>
      <c r="DK53" s="127">
        <f>DK61/12*4</f>
        <v>2600</v>
      </c>
      <c r="DL53" s="2">
        <f t="shared" si="114"/>
        <v>650</v>
      </c>
      <c r="DM53" s="130">
        <f t="shared" si="142"/>
        <v>0</v>
      </c>
      <c r="DN53" s="3">
        <f>DN61/12*4</f>
        <v>1000</v>
      </c>
      <c r="DO53" s="130">
        <f t="shared" si="116"/>
        <v>250</v>
      </c>
      <c r="DP53" s="4">
        <f t="shared" si="143"/>
        <v>0</v>
      </c>
      <c r="DQ53" s="116">
        <f t="shared" si="144"/>
        <v>3750</v>
      </c>
      <c r="DR53" s="116">
        <f t="shared" si="147"/>
        <v>1150</v>
      </c>
    </row>
    <row r="54" spans="1:122" ht="14.25" customHeight="1" thickBot="1" x14ac:dyDescent="0.2">
      <c r="A54" s="416"/>
      <c r="B54" s="16">
        <v>44958</v>
      </c>
      <c r="C54" s="207">
        <f>'PV-Felder'!$I$3</f>
        <v>922.2</v>
      </c>
      <c r="D54" s="351"/>
      <c r="E54" s="61">
        <v>0</v>
      </c>
      <c r="F54" s="351"/>
      <c r="G54" s="56" t="e">
        <f t="shared" ca="1" si="0"/>
        <v>#N/A</v>
      </c>
      <c r="H54" s="351"/>
      <c r="I54" s="61">
        <v>0</v>
      </c>
      <c r="J54" s="351"/>
      <c r="K54" s="61">
        <v>0</v>
      </c>
      <c r="L54" s="351"/>
      <c r="M54" s="65">
        <f t="shared" si="1"/>
        <v>0</v>
      </c>
      <c r="N54" s="373"/>
      <c r="O54" s="288"/>
      <c r="P54" s="288"/>
      <c r="Q54" s="286">
        <f t="shared" si="2"/>
        <v>0</v>
      </c>
      <c r="R54" s="334"/>
      <c r="S54" s="61">
        <v>0</v>
      </c>
      <c r="T54" s="376"/>
      <c r="U54" s="61">
        <v>0</v>
      </c>
      <c r="V54" s="342"/>
      <c r="W54" s="61">
        <v>0</v>
      </c>
      <c r="X54" s="342"/>
      <c r="Y54" s="211" t="e">
        <f t="shared" si="106"/>
        <v>#N/A</v>
      </c>
      <c r="Z54" s="370"/>
      <c r="AA54" s="61">
        <v>0</v>
      </c>
      <c r="AB54" s="351"/>
      <c r="AC54" s="61">
        <v>0</v>
      </c>
      <c r="AD54" s="351"/>
      <c r="AE54" s="73" t="e">
        <f t="shared" si="131"/>
        <v>#N/A</v>
      </c>
      <c r="AF54" s="356"/>
      <c r="AG54" s="73" t="e">
        <f t="shared" si="132"/>
        <v>#N/A</v>
      </c>
      <c r="AH54" s="356"/>
      <c r="AI54" s="221">
        <f t="shared" si="145"/>
        <v>29.26</v>
      </c>
      <c r="AJ54" s="78">
        <f t="shared" ref="AJ54:AM54" si="149">AJ53</f>
        <v>0.26750000000000002</v>
      </c>
      <c r="AK54" s="79">
        <f t="shared" si="149"/>
        <v>9.9166666666666661</v>
      </c>
      <c r="AL54" s="80">
        <f t="shared" si="149"/>
        <v>187</v>
      </c>
      <c r="AM54" s="78">
        <f t="shared" si="149"/>
        <v>9.737942583732058E-2</v>
      </c>
      <c r="AN54" s="80">
        <f t="shared" si="138"/>
        <v>143</v>
      </c>
      <c r="AO54" s="78">
        <f t="shared" si="138"/>
        <v>0.21099999999999999</v>
      </c>
      <c r="AP54" s="88">
        <f t="shared" si="138"/>
        <v>12</v>
      </c>
      <c r="AQ54" s="64">
        <f t="shared" si="47"/>
        <v>21.5</v>
      </c>
      <c r="AR54" s="64">
        <f t="shared" si="48"/>
        <v>11.5</v>
      </c>
      <c r="AS54" s="88">
        <f t="shared" si="50"/>
        <v>1.1830000000000001</v>
      </c>
      <c r="AT54" s="91">
        <f t="shared" si="89"/>
        <v>283</v>
      </c>
      <c r="AU54" s="94"/>
      <c r="AV54" s="95"/>
      <c r="AW54" s="56">
        <f t="shared" si="4"/>
        <v>0</v>
      </c>
      <c r="AX54" s="351"/>
      <c r="AY54" s="100">
        <f t="shared" si="52"/>
        <v>9.9166666666666661</v>
      </c>
      <c r="AZ54" s="360"/>
      <c r="BA54" s="91">
        <f t="shared" si="139"/>
        <v>-450.86254700000029</v>
      </c>
      <c r="BB54" s="5">
        <f t="shared" si="134"/>
        <v>-9.9166666666666661</v>
      </c>
      <c r="BC54" s="363"/>
      <c r="BD54" s="91" t="e">
        <f t="shared" ca="1" si="6"/>
        <v>#N/A</v>
      </c>
      <c r="BE54" s="91" t="e">
        <f t="shared" ca="1" si="7"/>
        <v>#N/A</v>
      </c>
      <c r="BF54" s="91">
        <f t="shared" si="8"/>
        <v>31.833333333333329</v>
      </c>
      <c r="BG54" s="91" t="e">
        <f t="shared" ca="1" si="9"/>
        <v>#N/A</v>
      </c>
      <c r="BH54" s="91" t="e">
        <f t="shared" ca="1" si="61"/>
        <v>#N/A</v>
      </c>
      <c r="BI54" s="10" t="e">
        <f t="shared" ca="1" si="40"/>
        <v>#N/A</v>
      </c>
      <c r="BJ54" s="104">
        <f>((M54+Q54)*AJ54+AK54)+((U54-W54+W54/('Vergleich Holz Strom'!$B$8-0.6))*AO54+AP54)</f>
        <v>21.916666666666664</v>
      </c>
      <c r="BK54" s="10" t="e">
        <f t="shared" ca="1" si="135"/>
        <v>#N/A</v>
      </c>
      <c r="BL54" s="379"/>
      <c r="BM54" s="104" t="e">
        <f t="shared" ca="1" si="27"/>
        <v>#N/A</v>
      </c>
      <c r="BN54" s="40" t="e">
        <f ca="1">IF(ISNUMBER(BK54),BN53+SUMIF(BK50:BK61,"&lt;&gt;#NV",BK50:BK61)/COUNTIF(BK50:BK61,"&lt;&gt;#NV"),#N/A)</f>
        <v>#N/A</v>
      </c>
      <c r="BO54" s="10" t="e">
        <f t="shared" ca="1" si="129"/>
        <v>#N/A</v>
      </c>
      <c r="BP54" s="104" t="e">
        <f t="shared" ca="1" si="136"/>
        <v>#N/A</v>
      </c>
      <c r="BQ54" s="104">
        <f t="shared" ca="1" si="126"/>
        <v>-61938.302546999956</v>
      </c>
      <c r="BR54" s="10">
        <f t="shared" si="12"/>
        <v>9.9166666666666661</v>
      </c>
      <c r="BS54" s="311"/>
      <c r="BT54" s="307"/>
      <c r="BU54" s="295">
        <f t="shared" si="13"/>
        <v>0</v>
      </c>
      <c r="BV54" s="323"/>
      <c r="BW54" s="299">
        <f t="shared" si="14"/>
        <v>0</v>
      </c>
      <c r="BX54" s="295">
        <f t="shared" si="15"/>
        <v>0</v>
      </c>
      <c r="BY54" s="382"/>
      <c r="BZ54" s="299">
        <f t="shared" si="30"/>
        <v>0</v>
      </c>
      <c r="CA54" s="295">
        <f t="shared" si="42"/>
        <v>0</v>
      </c>
      <c r="CB54" s="323"/>
      <c r="CC54" s="314">
        <f t="shared" si="76"/>
        <v>0</v>
      </c>
      <c r="CD54" s="326"/>
      <c r="CE54" s="299">
        <f t="shared" si="17"/>
        <v>0</v>
      </c>
      <c r="CF54" s="284">
        <f t="shared" si="77"/>
        <v>0</v>
      </c>
      <c r="CG54" s="323"/>
      <c r="CH54" s="302">
        <f t="shared" si="58"/>
        <v>0</v>
      </c>
      <c r="CI54" s="108">
        <f t="shared" si="19"/>
        <v>0</v>
      </c>
      <c r="CJ54" s="200">
        <f t="shared" si="20"/>
        <v>0</v>
      </c>
      <c r="CK54" s="197">
        <f t="shared" si="51"/>
        <v>0</v>
      </c>
      <c r="CL54" s="203">
        <f t="shared" si="21"/>
        <v>12</v>
      </c>
      <c r="CM54" s="4">
        <f>U54*Jahresdaten!$AD$2</f>
        <v>0</v>
      </c>
      <c r="CN54" s="112">
        <f>CJ54*Jahresdaten!$AD$2</f>
        <v>0</v>
      </c>
      <c r="CO54" s="366"/>
      <c r="CP54" s="116">
        <f>U54*Jahresdaten!$AD$3</f>
        <v>0</v>
      </c>
      <c r="CQ54" s="12">
        <f>CJ54*Jahresdaten!$AD$3</f>
        <v>0</v>
      </c>
      <c r="CR54" s="353"/>
      <c r="CS54" s="14"/>
      <c r="CT54" s="136"/>
      <c r="CU54" s="140" t="str">
        <f>IF(CT54=0,"",CT54*'Vergleich Holz Strom'!$B$2)</f>
        <v/>
      </c>
      <c r="CV54" s="353"/>
      <c r="CW54" s="366"/>
      <c r="CX54" s="345"/>
      <c r="CY54" s="345"/>
      <c r="CZ54" s="345"/>
      <c r="DA54" s="348"/>
      <c r="DB54" s="94"/>
      <c r="DC54" s="88">
        <f t="shared" si="53"/>
        <v>7277.9279999999962</v>
      </c>
      <c r="DD54" s="94"/>
      <c r="DE54" s="88">
        <f t="shared" si="56"/>
        <v>-4972.1125469999997</v>
      </c>
      <c r="DF54" s="100" t="e">
        <f ca="1">BE54+(SUM(CS50:CS61)/12)</f>
        <v>#N/A</v>
      </c>
      <c r="DG54" s="351"/>
      <c r="DH54" s="8">
        <f t="shared" si="140"/>
        <v>0</v>
      </c>
      <c r="DI54" s="123">
        <f t="shared" si="137"/>
        <v>9600</v>
      </c>
      <c r="DJ54" s="2">
        <f t="shared" si="141"/>
        <v>0</v>
      </c>
      <c r="DK54" s="127">
        <f>DK61/12*5</f>
        <v>3250</v>
      </c>
      <c r="DL54" s="2">
        <f t="shared" si="114"/>
        <v>650</v>
      </c>
      <c r="DM54" s="130">
        <f t="shared" si="142"/>
        <v>0</v>
      </c>
      <c r="DN54" s="3">
        <f>DN61/12*5</f>
        <v>1250</v>
      </c>
      <c r="DO54" s="130">
        <f t="shared" si="116"/>
        <v>250</v>
      </c>
      <c r="DP54" s="4">
        <f t="shared" si="143"/>
        <v>0</v>
      </c>
      <c r="DQ54" s="116">
        <f t="shared" si="144"/>
        <v>5100</v>
      </c>
      <c r="DR54" s="116">
        <f t="shared" si="147"/>
        <v>1350</v>
      </c>
    </row>
    <row r="55" spans="1:122" ht="14.25" customHeight="1" thickBot="1" x14ac:dyDescent="0.2">
      <c r="A55" s="416"/>
      <c r="B55" s="16">
        <v>44986</v>
      </c>
      <c r="C55" s="207">
        <f>'PV-Felder'!$I$4</f>
        <v>1860</v>
      </c>
      <c r="D55" s="351"/>
      <c r="E55" s="61">
        <v>0</v>
      </c>
      <c r="F55" s="351"/>
      <c r="G55" s="56" t="e">
        <f t="shared" ca="1" si="0"/>
        <v>#N/A</v>
      </c>
      <c r="H55" s="351"/>
      <c r="I55" s="61">
        <v>0</v>
      </c>
      <c r="J55" s="351"/>
      <c r="K55" s="61">
        <v>0</v>
      </c>
      <c r="L55" s="351"/>
      <c r="M55" s="65">
        <f t="shared" si="1"/>
        <v>0</v>
      </c>
      <c r="N55" s="373"/>
      <c r="O55" s="288"/>
      <c r="P55" s="288"/>
      <c r="Q55" s="286">
        <f t="shared" si="2"/>
        <v>0</v>
      </c>
      <c r="R55" s="334"/>
      <c r="S55" s="61">
        <v>0</v>
      </c>
      <c r="T55" s="376"/>
      <c r="U55" s="61">
        <v>0</v>
      </c>
      <c r="V55" s="342"/>
      <c r="W55" s="61">
        <v>0</v>
      </c>
      <c r="X55" s="342"/>
      <c r="Y55" s="211" t="e">
        <f t="shared" si="106"/>
        <v>#N/A</v>
      </c>
      <c r="Z55" s="370"/>
      <c r="AA55" s="61">
        <v>0</v>
      </c>
      <c r="AB55" s="351"/>
      <c r="AC55" s="61">
        <v>0</v>
      </c>
      <c r="AD55" s="351"/>
      <c r="AE55" s="73" t="e">
        <f t="shared" si="131"/>
        <v>#N/A</v>
      </c>
      <c r="AF55" s="356"/>
      <c r="AG55" s="73" t="e">
        <f t="shared" si="132"/>
        <v>#N/A</v>
      </c>
      <c r="AH55" s="356"/>
      <c r="AI55" s="221">
        <f t="shared" si="145"/>
        <v>29.26</v>
      </c>
      <c r="AJ55" s="78">
        <f t="shared" ref="AJ55:AM55" si="150">AJ54</f>
        <v>0.26750000000000002</v>
      </c>
      <c r="AK55" s="79">
        <f t="shared" si="150"/>
        <v>9.9166666666666661</v>
      </c>
      <c r="AL55" s="80">
        <f t="shared" si="150"/>
        <v>187</v>
      </c>
      <c r="AM55" s="78">
        <f t="shared" si="150"/>
        <v>9.737942583732058E-2</v>
      </c>
      <c r="AN55" s="80">
        <f t="shared" si="138"/>
        <v>143</v>
      </c>
      <c r="AO55" s="78">
        <f t="shared" si="138"/>
        <v>0.21099999999999999</v>
      </c>
      <c r="AP55" s="88">
        <f t="shared" si="138"/>
        <v>12</v>
      </c>
      <c r="AQ55" s="64">
        <f t="shared" si="47"/>
        <v>21.5</v>
      </c>
      <c r="AR55" s="64">
        <f t="shared" si="48"/>
        <v>11.5</v>
      </c>
      <c r="AS55" s="88">
        <f t="shared" si="50"/>
        <v>1.1830000000000001</v>
      </c>
      <c r="AT55" s="91">
        <f t="shared" si="89"/>
        <v>283</v>
      </c>
      <c r="AU55" s="94"/>
      <c r="AV55" s="95"/>
      <c r="AW55" s="56">
        <f t="shared" si="4"/>
        <v>0</v>
      </c>
      <c r="AX55" s="351"/>
      <c r="AY55" s="100">
        <f t="shared" si="52"/>
        <v>9.9166666666666661</v>
      </c>
      <c r="AZ55" s="360"/>
      <c r="BA55" s="91">
        <f t="shared" si="139"/>
        <v>-460.77921366666698</v>
      </c>
      <c r="BB55" s="5">
        <f t="shared" si="134"/>
        <v>-9.9166666666666661</v>
      </c>
      <c r="BC55" s="363"/>
      <c r="BD55" s="91" t="e">
        <f t="shared" ca="1" si="6"/>
        <v>#N/A</v>
      </c>
      <c r="BE55" s="91" t="e">
        <f t="shared" ca="1" si="7"/>
        <v>#N/A</v>
      </c>
      <c r="BF55" s="91">
        <f t="shared" si="8"/>
        <v>31.833333333333329</v>
      </c>
      <c r="BG55" s="91" t="e">
        <f t="shared" ca="1" si="9"/>
        <v>#N/A</v>
      </c>
      <c r="BH55" s="91" t="e">
        <f t="shared" ca="1" si="61"/>
        <v>#N/A</v>
      </c>
      <c r="BI55" s="10" t="e">
        <f t="shared" ca="1" si="40"/>
        <v>#N/A</v>
      </c>
      <c r="BJ55" s="104">
        <f>((M55+Q55)*AJ55+AK55)+((U55-W55+W55/('Vergleich Holz Strom'!$B$8-0.6))*AO55+AP55)</f>
        <v>21.916666666666664</v>
      </c>
      <c r="BK55" s="10" t="e">
        <f t="shared" ca="1" si="135"/>
        <v>#N/A</v>
      </c>
      <c r="BL55" s="379"/>
      <c r="BM55" s="104" t="e">
        <f t="shared" ca="1" si="27"/>
        <v>#N/A</v>
      </c>
      <c r="BN55" s="40" t="e">
        <f ca="1">IF(ISNUMBER(BK55),BN54+SUMIF(BK50:BK61,"&lt;&gt;#NV",BK50:BK61)/COUNTIF(BK50:BK61,"&lt;&gt;#NV"),#N/A)</f>
        <v>#N/A</v>
      </c>
      <c r="BO55" s="10" t="e">
        <f t="shared" ca="1" si="129"/>
        <v>#N/A</v>
      </c>
      <c r="BP55" s="104" t="e">
        <f t="shared" ca="1" si="136"/>
        <v>#N/A</v>
      </c>
      <c r="BQ55" s="104">
        <f t="shared" ca="1" si="126"/>
        <v>-61919.102546999959</v>
      </c>
      <c r="BR55" s="10">
        <f t="shared" si="12"/>
        <v>9.9166666666666661</v>
      </c>
      <c r="BS55" s="311"/>
      <c r="BT55" s="307"/>
      <c r="BU55" s="295">
        <f t="shared" si="13"/>
        <v>0</v>
      </c>
      <c r="BV55" s="323"/>
      <c r="BW55" s="299">
        <f t="shared" si="14"/>
        <v>0</v>
      </c>
      <c r="BX55" s="295">
        <f t="shared" si="15"/>
        <v>0</v>
      </c>
      <c r="BY55" s="382"/>
      <c r="BZ55" s="299">
        <f t="shared" si="30"/>
        <v>0</v>
      </c>
      <c r="CA55" s="295">
        <f t="shared" si="42"/>
        <v>0</v>
      </c>
      <c r="CB55" s="323"/>
      <c r="CC55" s="314">
        <f t="shared" si="76"/>
        <v>0</v>
      </c>
      <c r="CD55" s="326"/>
      <c r="CE55" s="299">
        <f t="shared" si="17"/>
        <v>0</v>
      </c>
      <c r="CF55" s="284">
        <f t="shared" si="77"/>
        <v>0</v>
      </c>
      <c r="CG55" s="323"/>
      <c r="CH55" s="302">
        <f t="shared" si="58"/>
        <v>0</v>
      </c>
      <c r="CI55" s="108">
        <f t="shared" si="19"/>
        <v>0</v>
      </c>
      <c r="CJ55" s="200">
        <f t="shared" si="20"/>
        <v>0</v>
      </c>
      <c r="CK55" s="197">
        <f t="shared" si="51"/>
        <v>0</v>
      </c>
      <c r="CL55" s="203">
        <f t="shared" si="21"/>
        <v>12</v>
      </c>
      <c r="CM55" s="4">
        <f>U55*Jahresdaten!$AD$2</f>
        <v>0</v>
      </c>
      <c r="CN55" s="112">
        <f>CJ55*Jahresdaten!$AD$2</f>
        <v>0</v>
      </c>
      <c r="CO55" s="366"/>
      <c r="CP55" s="116">
        <f>U55*Jahresdaten!$AD$3</f>
        <v>0</v>
      </c>
      <c r="CQ55" s="12">
        <f>CJ55*Jahresdaten!$AD$3</f>
        <v>0</v>
      </c>
      <c r="CR55" s="353"/>
      <c r="CS55" s="14"/>
      <c r="CT55" s="136"/>
      <c r="CU55" s="140" t="str">
        <f>IF(CT55=0,"",CT55*'Vergleich Holz Strom'!$B$2)</f>
        <v/>
      </c>
      <c r="CV55" s="353"/>
      <c r="CW55" s="366"/>
      <c r="CX55" s="345"/>
      <c r="CY55" s="345"/>
      <c r="CZ55" s="345"/>
      <c r="DA55" s="348"/>
      <c r="DB55" s="94"/>
      <c r="DC55" s="88">
        <f t="shared" si="53"/>
        <v>7455.0113333333293</v>
      </c>
      <c r="DD55" s="94"/>
      <c r="DE55" s="88">
        <f t="shared" si="56"/>
        <v>-5115.1125469999997</v>
      </c>
      <c r="DF55" s="100" t="e">
        <f ca="1">BE55+(SUM(CS50:CS61)/12)</f>
        <v>#N/A</v>
      </c>
      <c r="DG55" s="351"/>
      <c r="DH55" s="8">
        <f t="shared" si="140"/>
        <v>0</v>
      </c>
      <c r="DI55" s="123">
        <f t="shared" si="137"/>
        <v>11850</v>
      </c>
      <c r="DJ55" s="2">
        <f t="shared" si="141"/>
        <v>0</v>
      </c>
      <c r="DK55" s="127">
        <f>DK61/12*6</f>
        <v>3900</v>
      </c>
      <c r="DL55" s="2">
        <f t="shared" si="114"/>
        <v>650</v>
      </c>
      <c r="DM55" s="130">
        <f t="shared" si="142"/>
        <v>0</v>
      </c>
      <c r="DN55" s="3">
        <f>DN61/12*6</f>
        <v>1500</v>
      </c>
      <c r="DO55" s="130">
        <f t="shared" si="116"/>
        <v>250</v>
      </c>
      <c r="DP55" s="4">
        <f t="shared" si="143"/>
        <v>0</v>
      </c>
      <c r="DQ55" s="116">
        <f t="shared" si="144"/>
        <v>6450</v>
      </c>
      <c r="DR55" s="116">
        <f t="shared" si="147"/>
        <v>1350</v>
      </c>
    </row>
    <row r="56" spans="1:122" ht="15" customHeight="1" thickBot="1" x14ac:dyDescent="0.2">
      <c r="A56" s="416"/>
      <c r="B56" s="16">
        <v>45017</v>
      </c>
      <c r="C56" s="207">
        <f>'PV-Felder'!$I$5</f>
        <v>2887.3</v>
      </c>
      <c r="D56" s="351"/>
      <c r="E56" s="61">
        <v>0</v>
      </c>
      <c r="F56" s="351"/>
      <c r="G56" s="56" t="e">
        <f t="shared" ca="1" si="0"/>
        <v>#N/A</v>
      </c>
      <c r="H56" s="351"/>
      <c r="I56" s="61">
        <v>0</v>
      </c>
      <c r="J56" s="351"/>
      <c r="K56" s="61">
        <v>0</v>
      </c>
      <c r="L56" s="351"/>
      <c r="M56" s="65">
        <f t="shared" si="1"/>
        <v>0</v>
      </c>
      <c r="N56" s="373"/>
      <c r="O56" s="288"/>
      <c r="P56" s="288"/>
      <c r="Q56" s="286">
        <f t="shared" si="2"/>
        <v>0</v>
      </c>
      <c r="R56" s="334"/>
      <c r="S56" s="61">
        <v>0</v>
      </c>
      <c r="T56" s="376"/>
      <c r="U56" s="61">
        <v>0</v>
      </c>
      <c r="V56" s="342"/>
      <c r="W56" s="61">
        <v>0</v>
      </c>
      <c r="X56" s="342"/>
      <c r="Y56" s="211" t="e">
        <f t="shared" si="106"/>
        <v>#N/A</v>
      </c>
      <c r="Z56" s="370"/>
      <c r="AA56" s="61">
        <v>0</v>
      </c>
      <c r="AB56" s="351"/>
      <c r="AC56" s="61">
        <v>0</v>
      </c>
      <c r="AD56" s="351"/>
      <c r="AE56" s="73" t="e">
        <f t="shared" si="131"/>
        <v>#N/A</v>
      </c>
      <c r="AF56" s="356"/>
      <c r="AG56" s="73" t="e">
        <f t="shared" si="132"/>
        <v>#N/A</v>
      </c>
      <c r="AH56" s="356"/>
      <c r="AI56" s="221">
        <f t="shared" si="145"/>
        <v>29.26</v>
      </c>
      <c r="AJ56" s="78">
        <f t="shared" ref="AJ56:AM56" si="151">AJ55</f>
        <v>0.26750000000000002</v>
      </c>
      <c r="AK56" s="79">
        <f t="shared" si="151"/>
        <v>9.9166666666666661</v>
      </c>
      <c r="AL56" s="80">
        <f t="shared" si="151"/>
        <v>187</v>
      </c>
      <c r="AM56" s="78">
        <f t="shared" si="151"/>
        <v>9.737942583732058E-2</v>
      </c>
      <c r="AN56" s="80">
        <f t="shared" si="138"/>
        <v>143</v>
      </c>
      <c r="AO56" s="78">
        <f t="shared" si="138"/>
        <v>0.21099999999999999</v>
      </c>
      <c r="AP56" s="88">
        <f t="shared" si="138"/>
        <v>12</v>
      </c>
      <c r="AQ56" s="64">
        <f t="shared" si="47"/>
        <v>21.5</v>
      </c>
      <c r="AR56" s="64">
        <f t="shared" si="48"/>
        <v>11.5</v>
      </c>
      <c r="AS56" s="88">
        <f t="shared" si="50"/>
        <v>1.1830000000000001</v>
      </c>
      <c r="AT56" s="91">
        <f t="shared" si="89"/>
        <v>283</v>
      </c>
      <c r="AU56" s="94"/>
      <c r="AV56" s="95"/>
      <c r="AW56" s="56">
        <f t="shared" si="4"/>
        <v>0</v>
      </c>
      <c r="AX56" s="351"/>
      <c r="AY56" s="100">
        <f t="shared" si="52"/>
        <v>9.9166666666666661</v>
      </c>
      <c r="AZ56" s="360"/>
      <c r="BA56" s="91">
        <f t="shared" si="139"/>
        <v>-470.69588033333366</v>
      </c>
      <c r="BB56" s="5">
        <f t="shared" si="134"/>
        <v>-9.9166666666666661</v>
      </c>
      <c r="BC56" s="363"/>
      <c r="BD56" s="91" t="e">
        <f t="shared" ca="1" si="6"/>
        <v>#N/A</v>
      </c>
      <c r="BE56" s="91" t="e">
        <f t="shared" ca="1" si="7"/>
        <v>#N/A</v>
      </c>
      <c r="BF56" s="91">
        <f t="shared" si="8"/>
        <v>31.833333333333329</v>
      </c>
      <c r="BG56" s="91" t="e">
        <f t="shared" ca="1" si="9"/>
        <v>#N/A</v>
      </c>
      <c r="BH56" s="91" t="e">
        <f t="shared" ca="1" si="61"/>
        <v>#N/A</v>
      </c>
      <c r="BI56" s="10" t="e">
        <f t="shared" ca="1" si="40"/>
        <v>#N/A</v>
      </c>
      <c r="BJ56" s="104">
        <f>((M56+Q56)*AJ56+AK56)+((U56-W56+W56/('Vergleich Holz Strom'!$B$8-0.6))*AO56+AP56)</f>
        <v>21.916666666666664</v>
      </c>
      <c r="BK56" s="10" t="e">
        <f t="shared" ca="1" si="135"/>
        <v>#N/A</v>
      </c>
      <c r="BL56" s="379"/>
      <c r="BM56" s="104" t="e">
        <f t="shared" ca="1" si="27"/>
        <v>#N/A</v>
      </c>
      <c r="BN56" s="40" t="e">
        <f ca="1">IF(ISNUMBER(BK56),BN55+SUMIF(BK50:BK61,"&lt;&gt;#NV",BK50:BK61)/COUNTIF(BK50:BK61,"&lt;&gt;#NV"),#N/A)</f>
        <v>#N/A</v>
      </c>
      <c r="BO56" s="10" t="e">
        <f t="shared" ca="1" si="129"/>
        <v>#N/A</v>
      </c>
      <c r="BP56" s="104" t="e">
        <f t="shared" ca="1" si="136"/>
        <v>#N/A</v>
      </c>
      <c r="BQ56" s="104">
        <f t="shared" ca="1" si="126"/>
        <v>-61899.902546999932</v>
      </c>
      <c r="BR56" s="10">
        <f t="shared" si="12"/>
        <v>9.9166666666666661</v>
      </c>
      <c r="BS56" s="311"/>
      <c r="BT56" s="307"/>
      <c r="BU56" s="295">
        <f t="shared" si="13"/>
        <v>0</v>
      </c>
      <c r="BV56" s="323"/>
      <c r="BW56" s="299">
        <f t="shared" si="14"/>
        <v>0</v>
      </c>
      <c r="BX56" s="295">
        <f t="shared" si="15"/>
        <v>0</v>
      </c>
      <c r="BY56" s="382"/>
      <c r="BZ56" s="299">
        <f t="shared" si="30"/>
        <v>0</v>
      </c>
      <c r="CA56" s="295">
        <f t="shared" si="42"/>
        <v>0</v>
      </c>
      <c r="CB56" s="323"/>
      <c r="CC56" s="314">
        <f t="shared" si="76"/>
        <v>0</v>
      </c>
      <c r="CD56" s="326"/>
      <c r="CE56" s="299">
        <f t="shared" si="17"/>
        <v>0</v>
      </c>
      <c r="CF56" s="284">
        <f t="shared" si="77"/>
        <v>0</v>
      </c>
      <c r="CG56" s="323"/>
      <c r="CH56" s="302">
        <f t="shared" si="58"/>
        <v>0</v>
      </c>
      <c r="CI56" s="108">
        <f t="shared" si="19"/>
        <v>0</v>
      </c>
      <c r="CJ56" s="200">
        <f t="shared" si="20"/>
        <v>0</v>
      </c>
      <c r="CK56" s="197">
        <f t="shared" si="51"/>
        <v>0</v>
      </c>
      <c r="CL56" s="203">
        <f t="shared" si="21"/>
        <v>12</v>
      </c>
      <c r="CM56" s="4">
        <f>U56*Jahresdaten!$AD$2</f>
        <v>0</v>
      </c>
      <c r="CN56" s="112">
        <f>CJ56*Jahresdaten!$AD$2</f>
        <v>0</v>
      </c>
      <c r="CO56" s="366"/>
      <c r="CP56" s="116">
        <f>U56*Jahresdaten!$AD$3</f>
        <v>0</v>
      </c>
      <c r="CQ56" s="12">
        <f>CJ56*Jahresdaten!$AD$3</f>
        <v>0</v>
      </c>
      <c r="CR56" s="353"/>
      <c r="CS56" s="14"/>
      <c r="CT56" s="136"/>
      <c r="CU56" s="140" t="str">
        <f>IF(CT56=0,"",CT56*'Vergleich Holz Strom'!$B$2)</f>
        <v/>
      </c>
      <c r="CV56" s="121" t="s">
        <v>6</v>
      </c>
      <c r="CW56" s="366"/>
      <c r="CX56" s="345"/>
      <c r="CY56" s="345"/>
      <c r="CZ56" s="345"/>
      <c r="DA56" s="348"/>
      <c r="DB56" s="94"/>
      <c r="DC56" s="88">
        <f t="shared" si="53"/>
        <v>7632.0946666666623</v>
      </c>
      <c r="DD56" s="94"/>
      <c r="DE56" s="88">
        <f t="shared" si="56"/>
        <v>-5258.1125469999997</v>
      </c>
      <c r="DF56" s="100" t="e">
        <f ca="1">BE56+(SUM(CS50:CS61)/12)</f>
        <v>#N/A</v>
      </c>
      <c r="DG56" s="351"/>
      <c r="DH56" s="8">
        <f t="shared" si="140"/>
        <v>0</v>
      </c>
      <c r="DI56" s="123">
        <f t="shared" si="137"/>
        <v>14000</v>
      </c>
      <c r="DJ56" s="2">
        <f t="shared" si="141"/>
        <v>0</v>
      </c>
      <c r="DK56" s="127">
        <f>DK61/12*7</f>
        <v>4550</v>
      </c>
      <c r="DL56" s="2">
        <f t="shared" si="114"/>
        <v>650</v>
      </c>
      <c r="DM56" s="130">
        <f t="shared" si="142"/>
        <v>0</v>
      </c>
      <c r="DN56" s="3">
        <f>DN61/12*7</f>
        <v>1750</v>
      </c>
      <c r="DO56" s="130">
        <f t="shared" si="116"/>
        <v>250</v>
      </c>
      <c r="DP56" s="4">
        <f t="shared" si="143"/>
        <v>0</v>
      </c>
      <c r="DQ56" s="116">
        <f t="shared" si="144"/>
        <v>7700</v>
      </c>
      <c r="DR56" s="116">
        <f t="shared" si="147"/>
        <v>1250</v>
      </c>
    </row>
    <row r="57" spans="1:122" ht="14.25" customHeight="1" thickBot="1" x14ac:dyDescent="0.2">
      <c r="A57" s="416"/>
      <c r="B57" s="16">
        <v>45047</v>
      </c>
      <c r="C57" s="207">
        <f>'PV-Felder'!$I$6</f>
        <v>3391.3999999999996</v>
      </c>
      <c r="D57" s="351"/>
      <c r="E57" s="61">
        <v>0</v>
      </c>
      <c r="F57" s="351"/>
      <c r="G57" s="56" t="e">
        <f t="shared" ca="1" si="0"/>
        <v>#N/A</v>
      </c>
      <c r="H57" s="351"/>
      <c r="I57" s="61">
        <v>0</v>
      </c>
      <c r="J57" s="351"/>
      <c r="K57" s="61">
        <v>0</v>
      </c>
      <c r="L57" s="351"/>
      <c r="M57" s="65">
        <f t="shared" si="1"/>
        <v>0</v>
      </c>
      <c r="N57" s="373"/>
      <c r="O57" s="288"/>
      <c r="P57" s="288"/>
      <c r="Q57" s="286">
        <f t="shared" si="2"/>
        <v>0</v>
      </c>
      <c r="R57" s="334"/>
      <c r="S57" s="61">
        <v>0</v>
      </c>
      <c r="T57" s="376"/>
      <c r="U57" s="61">
        <v>0</v>
      </c>
      <c r="V57" s="342"/>
      <c r="W57" s="61">
        <v>0</v>
      </c>
      <c r="X57" s="342"/>
      <c r="Y57" s="211" t="e">
        <f t="shared" si="106"/>
        <v>#N/A</v>
      </c>
      <c r="Z57" s="370"/>
      <c r="AA57" s="61">
        <v>0</v>
      </c>
      <c r="AB57" s="351"/>
      <c r="AC57" s="61">
        <v>0</v>
      </c>
      <c r="AD57" s="351"/>
      <c r="AE57" s="73" t="e">
        <f t="shared" si="131"/>
        <v>#N/A</v>
      </c>
      <c r="AF57" s="356"/>
      <c r="AG57" s="73" t="e">
        <f t="shared" si="132"/>
        <v>#N/A</v>
      </c>
      <c r="AH57" s="356"/>
      <c r="AI57" s="221">
        <f t="shared" si="145"/>
        <v>29.26</v>
      </c>
      <c r="AJ57" s="78">
        <f t="shared" ref="AJ57:AM57" si="152">AJ56</f>
        <v>0.26750000000000002</v>
      </c>
      <c r="AK57" s="79">
        <f t="shared" si="152"/>
        <v>9.9166666666666661</v>
      </c>
      <c r="AL57" s="80">
        <f t="shared" si="152"/>
        <v>187</v>
      </c>
      <c r="AM57" s="78">
        <f t="shared" si="152"/>
        <v>9.737942583732058E-2</v>
      </c>
      <c r="AN57" s="80">
        <f t="shared" si="138"/>
        <v>143</v>
      </c>
      <c r="AO57" s="78">
        <f t="shared" si="138"/>
        <v>0.21099999999999999</v>
      </c>
      <c r="AP57" s="88">
        <f t="shared" si="138"/>
        <v>12</v>
      </c>
      <c r="AQ57" s="64">
        <f t="shared" si="47"/>
        <v>21.5</v>
      </c>
      <c r="AR57" s="64">
        <f t="shared" si="48"/>
        <v>11.5</v>
      </c>
      <c r="AS57" s="88">
        <f t="shared" si="50"/>
        <v>1.1830000000000001</v>
      </c>
      <c r="AT57" s="91">
        <f t="shared" si="89"/>
        <v>283</v>
      </c>
      <c r="AU57" s="94"/>
      <c r="AV57" s="95"/>
      <c r="AW57" s="56">
        <f t="shared" si="4"/>
        <v>0</v>
      </c>
      <c r="AX57" s="351"/>
      <c r="AY57" s="100">
        <f t="shared" si="52"/>
        <v>9.9166666666666661</v>
      </c>
      <c r="AZ57" s="360"/>
      <c r="BA57" s="91">
        <f t="shared" si="139"/>
        <v>-480.61254700000035</v>
      </c>
      <c r="BB57" s="5">
        <f t="shared" si="134"/>
        <v>-9.9166666666666661</v>
      </c>
      <c r="BC57" s="363"/>
      <c r="BD57" s="91" t="e">
        <f t="shared" ca="1" si="6"/>
        <v>#N/A</v>
      </c>
      <c r="BE57" s="91" t="e">
        <f t="shared" ca="1" si="7"/>
        <v>#N/A</v>
      </c>
      <c r="BF57" s="91">
        <f t="shared" si="8"/>
        <v>31.833333333333329</v>
      </c>
      <c r="BG57" s="91" t="e">
        <f t="shared" ca="1" si="9"/>
        <v>#N/A</v>
      </c>
      <c r="BH57" s="91" t="e">
        <f t="shared" ca="1" si="61"/>
        <v>#N/A</v>
      </c>
      <c r="BI57" s="10" t="e">
        <f t="shared" ca="1" si="40"/>
        <v>#N/A</v>
      </c>
      <c r="BJ57" s="104">
        <f>((M57+Q57)*AJ57+AK57)+((U57-W57+W57/('Vergleich Holz Strom'!$B$8-0.6))*AO57+AP57)</f>
        <v>21.916666666666664</v>
      </c>
      <c r="BK57" s="10" t="e">
        <f t="shared" ca="1" si="135"/>
        <v>#N/A</v>
      </c>
      <c r="BL57" s="379"/>
      <c r="BM57" s="104" t="e">
        <f t="shared" ca="1" si="27"/>
        <v>#N/A</v>
      </c>
      <c r="BN57" s="40" t="e">
        <f ca="1">IF(ISNUMBER(BK57),BN56+SUMIF(BK50:BK61,"&lt;&gt;#NV",BK50:BK61)/COUNTIF(BK50:BK61,"&lt;&gt;#NV"),#N/A)</f>
        <v>#N/A</v>
      </c>
      <c r="BO57" s="10" t="e">
        <f t="shared" ca="1" si="129"/>
        <v>#N/A</v>
      </c>
      <c r="BP57" s="104" t="e">
        <f t="shared" ca="1" si="136"/>
        <v>#N/A</v>
      </c>
      <c r="BQ57" s="104">
        <f t="shared" ca="1" si="126"/>
        <v>-61880.702546999921</v>
      </c>
      <c r="BR57" s="10">
        <f t="shared" si="12"/>
        <v>9.9166666666666661</v>
      </c>
      <c r="BS57" s="311"/>
      <c r="BT57" s="307"/>
      <c r="BU57" s="295">
        <f t="shared" si="13"/>
        <v>0</v>
      </c>
      <c r="BV57" s="323"/>
      <c r="BW57" s="299">
        <f t="shared" si="14"/>
        <v>0</v>
      </c>
      <c r="BX57" s="295">
        <f t="shared" si="15"/>
        <v>0</v>
      </c>
      <c r="BY57" s="382"/>
      <c r="BZ57" s="299">
        <f t="shared" si="30"/>
        <v>0</v>
      </c>
      <c r="CA57" s="295">
        <f t="shared" si="42"/>
        <v>0</v>
      </c>
      <c r="CB57" s="323"/>
      <c r="CC57" s="314">
        <f t="shared" si="76"/>
        <v>0</v>
      </c>
      <c r="CD57" s="326"/>
      <c r="CE57" s="299">
        <f t="shared" si="17"/>
        <v>0</v>
      </c>
      <c r="CF57" s="284">
        <f t="shared" si="77"/>
        <v>0</v>
      </c>
      <c r="CG57" s="323"/>
      <c r="CH57" s="302">
        <f t="shared" si="58"/>
        <v>0</v>
      </c>
      <c r="CI57" s="108">
        <f t="shared" si="19"/>
        <v>0</v>
      </c>
      <c r="CJ57" s="200">
        <f t="shared" si="20"/>
        <v>0</v>
      </c>
      <c r="CK57" s="197">
        <f t="shared" si="51"/>
        <v>0</v>
      </c>
      <c r="CL57" s="203">
        <f t="shared" si="21"/>
        <v>12</v>
      </c>
      <c r="CM57" s="4">
        <f>U57*Jahresdaten!$AD$2</f>
        <v>0</v>
      </c>
      <c r="CN57" s="112">
        <f>CJ57*Jahresdaten!$AD$2</f>
        <v>0</v>
      </c>
      <c r="CO57" s="366"/>
      <c r="CP57" s="116">
        <f>U57*Jahresdaten!$AD$3</f>
        <v>0</v>
      </c>
      <c r="CQ57" s="12">
        <f>CJ57*Jahresdaten!$AD$3</f>
        <v>0</v>
      </c>
      <c r="CR57" s="353"/>
      <c r="CS57" s="14"/>
      <c r="CT57" s="136"/>
      <c r="CU57" s="140" t="str">
        <f>IF(CT57=0,"",CT57*'Vergleich Holz Strom'!$B$2)</f>
        <v/>
      </c>
      <c r="CV57" s="353">
        <f>SUM(CS50:CS61)</f>
        <v>1169</v>
      </c>
      <c r="CW57" s="366"/>
      <c r="CX57" s="345"/>
      <c r="CY57" s="345"/>
      <c r="CZ57" s="345"/>
      <c r="DA57" s="348"/>
      <c r="DB57" s="94"/>
      <c r="DC57" s="88">
        <f t="shared" si="53"/>
        <v>7809.1779999999953</v>
      </c>
      <c r="DD57" s="94"/>
      <c r="DE57" s="88">
        <f t="shared" si="56"/>
        <v>-5401.1125469999997</v>
      </c>
      <c r="DF57" s="100" t="e">
        <f ca="1">BE57+(SUM(CS50:CS61)/12)</f>
        <v>#N/A</v>
      </c>
      <c r="DG57" s="351"/>
      <c r="DH57" s="8">
        <f t="shared" si="140"/>
        <v>0</v>
      </c>
      <c r="DI57" s="123">
        <f t="shared" si="137"/>
        <v>16000</v>
      </c>
      <c r="DJ57" s="2">
        <f t="shared" si="141"/>
        <v>0</v>
      </c>
      <c r="DK57" s="127">
        <f>DK61/12*8</f>
        <v>5200</v>
      </c>
      <c r="DL57" s="2">
        <f t="shared" si="114"/>
        <v>650</v>
      </c>
      <c r="DM57" s="130">
        <f t="shared" si="142"/>
        <v>0</v>
      </c>
      <c r="DN57" s="3">
        <f>DN61/12*8</f>
        <v>2000</v>
      </c>
      <c r="DO57" s="130">
        <f t="shared" si="116"/>
        <v>250</v>
      </c>
      <c r="DP57" s="4">
        <f t="shared" si="143"/>
        <v>0</v>
      </c>
      <c r="DQ57" s="116">
        <f t="shared" si="144"/>
        <v>8800</v>
      </c>
      <c r="DR57" s="116">
        <f t="shared" si="147"/>
        <v>1100</v>
      </c>
    </row>
    <row r="58" spans="1:122" ht="14.25" customHeight="1" thickBot="1" x14ac:dyDescent="0.2">
      <c r="A58" s="416"/>
      <c r="B58" s="16">
        <v>45078</v>
      </c>
      <c r="C58" s="207">
        <f>'PV-Felder'!$I$7</f>
        <v>3595.6000000000004</v>
      </c>
      <c r="D58" s="351"/>
      <c r="E58" s="61">
        <v>0</v>
      </c>
      <c r="F58" s="351"/>
      <c r="G58" s="56" t="e">
        <f t="shared" ca="1" si="0"/>
        <v>#N/A</v>
      </c>
      <c r="H58" s="351"/>
      <c r="I58" s="61">
        <v>0</v>
      </c>
      <c r="J58" s="351"/>
      <c r="K58" s="61">
        <v>0</v>
      </c>
      <c r="L58" s="351"/>
      <c r="M58" s="65">
        <f t="shared" si="1"/>
        <v>0</v>
      </c>
      <c r="N58" s="373"/>
      <c r="O58" s="288"/>
      <c r="P58" s="288"/>
      <c r="Q58" s="286">
        <f t="shared" si="2"/>
        <v>0</v>
      </c>
      <c r="R58" s="334"/>
      <c r="S58" s="61">
        <v>0</v>
      </c>
      <c r="T58" s="376"/>
      <c r="U58" s="61">
        <v>0</v>
      </c>
      <c r="V58" s="342"/>
      <c r="W58" s="61">
        <v>0</v>
      </c>
      <c r="X58" s="342"/>
      <c r="Y58" s="211" t="e">
        <f t="shared" si="106"/>
        <v>#N/A</v>
      </c>
      <c r="Z58" s="370"/>
      <c r="AA58" s="61">
        <v>0</v>
      </c>
      <c r="AB58" s="351"/>
      <c r="AC58" s="61">
        <v>0</v>
      </c>
      <c r="AD58" s="351"/>
      <c r="AE58" s="73" t="e">
        <f t="shared" si="131"/>
        <v>#N/A</v>
      </c>
      <c r="AF58" s="356"/>
      <c r="AG58" s="73" t="e">
        <f t="shared" si="132"/>
        <v>#N/A</v>
      </c>
      <c r="AH58" s="356"/>
      <c r="AI58" s="221">
        <f t="shared" si="145"/>
        <v>29.26</v>
      </c>
      <c r="AJ58" s="78">
        <f t="shared" ref="AJ58:AM58" si="153">AJ57</f>
        <v>0.26750000000000002</v>
      </c>
      <c r="AK58" s="79">
        <f t="shared" si="153"/>
        <v>9.9166666666666661</v>
      </c>
      <c r="AL58" s="80">
        <f t="shared" si="153"/>
        <v>187</v>
      </c>
      <c r="AM58" s="78">
        <f t="shared" si="153"/>
        <v>9.737942583732058E-2</v>
      </c>
      <c r="AN58" s="80">
        <f t="shared" si="138"/>
        <v>143</v>
      </c>
      <c r="AO58" s="78">
        <f t="shared" si="138"/>
        <v>0.21099999999999999</v>
      </c>
      <c r="AP58" s="88">
        <f t="shared" si="138"/>
        <v>12</v>
      </c>
      <c r="AQ58" s="64">
        <f t="shared" si="47"/>
        <v>21.5</v>
      </c>
      <c r="AR58" s="64">
        <f t="shared" si="48"/>
        <v>11.5</v>
      </c>
      <c r="AS58" s="88">
        <f t="shared" si="50"/>
        <v>1.1830000000000001</v>
      </c>
      <c r="AT58" s="91">
        <f t="shared" si="89"/>
        <v>283</v>
      </c>
      <c r="AU58" s="94"/>
      <c r="AV58" s="95"/>
      <c r="AW58" s="56">
        <f t="shared" si="4"/>
        <v>0</v>
      </c>
      <c r="AX58" s="351"/>
      <c r="AY58" s="100">
        <f t="shared" si="52"/>
        <v>9.9166666666666661</v>
      </c>
      <c r="AZ58" s="360"/>
      <c r="BA58" s="91">
        <f t="shared" si="139"/>
        <v>-490.52921366666703</v>
      </c>
      <c r="BB58" s="5">
        <f t="shared" si="134"/>
        <v>-9.9166666666666661</v>
      </c>
      <c r="BC58" s="363"/>
      <c r="BD58" s="91" t="e">
        <f t="shared" ca="1" si="6"/>
        <v>#N/A</v>
      </c>
      <c r="BE58" s="91" t="e">
        <f t="shared" ca="1" si="7"/>
        <v>#N/A</v>
      </c>
      <c r="BF58" s="91">
        <f t="shared" si="8"/>
        <v>31.833333333333329</v>
      </c>
      <c r="BG58" s="91" t="e">
        <f t="shared" ca="1" si="9"/>
        <v>#N/A</v>
      </c>
      <c r="BH58" s="91" t="e">
        <f t="shared" ca="1" si="61"/>
        <v>#N/A</v>
      </c>
      <c r="BI58" s="10" t="e">
        <f t="shared" ca="1" si="40"/>
        <v>#N/A</v>
      </c>
      <c r="BJ58" s="104">
        <f>((M58+Q58)*AJ58+AK58)+((U58-W58+W58/('Vergleich Holz Strom'!$B$8-0.6))*AO58+AP58)</f>
        <v>21.916666666666664</v>
      </c>
      <c r="BK58" s="10" t="e">
        <f t="shared" ca="1" si="135"/>
        <v>#N/A</v>
      </c>
      <c r="BL58" s="379"/>
      <c r="BM58" s="104" t="e">
        <f t="shared" ca="1" si="27"/>
        <v>#N/A</v>
      </c>
      <c r="BN58" s="40" t="e">
        <f ca="1">IF(ISNUMBER(BK58),BN57+SUMIF(BK50:BK61,"&lt;&gt;#NV",BK50:BK61)/COUNTIF(BK50:BK61,"&lt;&gt;#NV"),#N/A)</f>
        <v>#N/A</v>
      </c>
      <c r="BO58" s="10" t="e">
        <f t="shared" ca="1" si="129"/>
        <v>#N/A</v>
      </c>
      <c r="BP58" s="104" t="e">
        <f t="shared" ca="1" si="136"/>
        <v>#N/A</v>
      </c>
      <c r="BQ58" s="104">
        <f t="shared" ref="BQ58:BQ121" ca="1" si="154">IF(B59&lt;=TODAY(),BP58,IF(E58=0,BQ57+((BQ22-BQ21+BQ34-BQ33+BQ46-BQ45)/3),BP58))</f>
        <v>-61865.102546999922</v>
      </c>
      <c r="BR58" s="10">
        <f t="shared" si="12"/>
        <v>9.9166666666666661</v>
      </c>
      <c r="BS58" s="311"/>
      <c r="BT58" s="307"/>
      <c r="BU58" s="295">
        <f t="shared" si="13"/>
        <v>0</v>
      </c>
      <c r="BV58" s="323"/>
      <c r="BW58" s="299">
        <f t="shared" si="14"/>
        <v>0</v>
      </c>
      <c r="BX58" s="295">
        <f t="shared" si="15"/>
        <v>0</v>
      </c>
      <c r="BY58" s="382"/>
      <c r="BZ58" s="299">
        <f t="shared" si="30"/>
        <v>0</v>
      </c>
      <c r="CA58" s="295">
        <f t="shared" si="42"/>
        <v>0</v>
      </c>
      <c r="CB58" s="323"/>
      <c r="CC58" s="314">
        <f t="shared" si="76"/>
        <v>0</v>
      </c>
      <c r="CD58" s="326"/>
      <c r="CE58" s="299">
        <f t="shared" si="17"/>
        <v>0</v>
      </c>
      <c r="CF58" s="284">
        <f t="shared" si="77"/>
        <v>0</v>
      </c>
      <c r="CG58" s="323"/>
      <c r="CH58" s="302">
        <f t="shared" si="58"/>
        <v>0</v>
      </c>
      <c r="CI58" s="108">
        <f t="shared" si="19"/>
        <v>0</v>
      </c>
      <c r="CJ58" s="200">
        <f t="shared" si="20"/>
        <v>0</v>
      </c>
      <c r="CK58" s="197">
        <f t="shared" si="51"/>
        <v>0</v>
      </c>
      <c r="CL58" s="203">
        <f t="shared" si="21"/>
        <v>12</v>
      </c>
      <c r="CM58" s="4">
        <f>U58*Jahresdaten!$AD$2</f>
        <v>0</v>
      </c>
      <c r="CN58" s="112">
        <f>CJ58*Jahresdaten!$AD$2</f>
        <v>0</v>
      </c>
      <c r="CO58" s="366"/>
      <c r="CP58" s="116">
        <f>U58*Jahresdaten!$AD$3</f>
        <v>0</v>
      </c>
      <c r="CQ58" s="12">
        <f>CJ58*Jahresdaten!$AD$3</f>
        <v>0</v>
      </c>
      <c r="CR58" s="353"/>
      <c r="CS58" s="14"/>
      <c r="CT58" s="136"/>
      <c r="CU58" s="140" t="str">
        <f>IF(CT58=0,"",CT58*'Vergleich Holz Strom'!$B$2)</f>
        <v/>
      </c>
      <c r="CV58" s="353"/>
      <c r="CW58" s="366"/>
      <c r="CX58" s="345"/>
      <c r="CY58" s="345"/>
      <c r="CZ58" s="345"/>
      <c r="DA58" s="348"/>
      <c r="DB58" s="94"/>
      <c r="DC58" s="88">
        <f t="shared" si="53"/>
        <v>7986.2613333333284</v>
      </c>
      <c r="DD58" s="94"/>
      <c r="DE58" s="88">
        <f t="shared" si="56"/>
        <v>-5544.1125469999997</v>
      </c>
      <c r="DF58" s="100" t="e">
        <f ca="1">BE58+(SUM(CS50:CS61)/12)</f>
        <v>#N/A</v>
      </c>
      <c r="DG58" s="351"/>
      <c r="DH58" s="8">
        <f t="shared" si="140"/>
        <v>0</v>
      </c>
      <c r="DI58" s="123">
        <f t="shared" si="137"/>
        <v>17200</v>
      </c>
      <c r="DJ58" s="2">
        <f t="shared" si="141"/>
        <v>0</v>
      </c>
      <c r="DK58" s="127">
        <f>DK61/12*9</f>
        <v>5850</v>
      </c>
      <c r="DL58" s="2">
        <f t="shared" si="114"/>
        <v>650</v>
      </c>
      <c r="DM58" s="130">
        <f t="shared" si="142"/>
        <v>0</v>
      </c>
      <c r="DN58" s="3">
        <f>DN61/12*9</f>
        <v>2250</v>
      </c>
      <c r="DO58" s="130">
        <f t="shared" si="116"/>
        <v>250</v>
      </c>
      <c r="DP58" s="4">
        <f t="shared" si="143"/>
        <v>0</v>
      </c>
      <c r="DQ58" s="116">
        <f t="shared" si="144"/>
        <v>9100</v>
      </c>
      <c r="DR58" s="116">
        <f t="shared" si="147"/>
        <v>300</v>
      </c>
    </row>
    <row r="59" spans="1:122" ht="14.25" customHeight="1" thickBot="1" x14ac:dyDescent="0.2">
      <c r="A59" s="416"/>
      <c r="B59" s="16">
        <v>45108</v>
      </c>
      <c r="C59" s="207">
        <f>'PV-Felder'!$I$8</f>
        <v>3593.8</v>
      </c>
      <c r="D59" s="351"/>
      <c r="E59" s="61">
        <v>0</v>
      </c>
      <c r="F59" s="351"/>
      <c r="G59" s="56" t="e">
        <f t="shared" ca="1" si="0"/>
        <v>#N/A</v>
      </c>
      <c r="H59" s="351"/>
      <c r="I59" s="61">
        <v>0</v>
      </c>
      <c r="J59" s="351"/>
      <c r="K59" s="61">
        <v>0</v>
      </c>
      <c r="L59" s="351"/>
      <c r="M59" s="65">
        <f t="shared" si="1"/>
        <v>0</v>
      </c>
      <c r="N59" s="373"/>
      <c r="O59" s="288"/>
      <c r="P59" s="288"/>
      <c r="Q59" s="286">
        <f t="shared" si="2"/>
        <v>0</v>
      </c>
      <c r="R59" s="334"/>
      <c r="S59" s="61">
        <v>0</v>
      </c>
      <c r="T59" s="376"/>
      <c r="U59" s="61">
        <v>0</v>
      </c>
      <c r="V59" s="342"/>
      <c r="W59" s="61">
        <v>0</v>
      </c>
      <c r="X59" s="342"/>
      <c r="Y59" s="211" t="e">
        <f t="shared" si="106"/>
        <v>#N/A</v>
      </c>
      <c r="Z59" s="370"/>
      <c r="AA59" s="61">
        <v>0</v>
      </c>
      <c r="AB59" s="351"/>
      <c r="AC59" s="61">
        <v>0</v>
      </c>
      <c r="AD59" s="351"/>
      <c r="AE59" s="73" t="e">
        <f t="shared" si="131"/>
        <v>#N/A</v>
      </c>
      <c r="AF59" s="356"/>
      <c r="AG59" s="73" t="e">
        <f t="shared" si="132"/>
        <v>#N/A</v>
      </c>
      <c r="AH59" s="356"/>
      <c r="AI59" s="221">
        <f t="shared" si="145"/>
        <v>29.26</v>
      </c>
      <c r="AJ59" s="78">
        <f t="shared" ref="AJ59:AM59" si="155">AJ58</f>
        <v>0.26750000000000002</v>
      </c>
      <c r="AK59" s="79">
        <f t="shared" si="155"/>
        <v>9.9166666666666661</v>
      </c>
      <c r="AL59" s="80">
        <f t="shared" si="155"/>
        <v>187</v>
      </c>
      <c r="AM59" s="78">
        <f t="shared" si="155"/>
        <v>9.737942583732058E-2</v>
      </c>
      <c r="AN59" s="80">
        <f t="shared" si="138"/>
        <v>143</v>
      </c>
      <c r="AO59" s="78">
        <f t="shared" si="138"/>
        <v>0.21099999999999999</v>
      </c>
      <c r="AP59" s="88">
        <f t="shared" si="138"/>
        <v>12</v>
      </c>
      <c r="AQ59" s="64">
        <f t="shared" si="47"/>
        <v>21.5</v>
      </c>
      <c r="AR59" s="64">
        <f t="shared" si="48"/>
        <v>11.5</v>
      </c>
      <c r="AS59" s="88">
        <f t="shared" si="50"/>
        <v>1.1830000000000001</v>
      </c>
      <c r="AT59" s="91">
        <f t="shared" si="89"/>
        <v>283</v>
      </c>
      <c r="AU59" s="94"/>
      <c r="AV59" s="95"/>
      <c r="AW59" s="56">
        <f t="shared" si="4"/>
        <v>0</v>
      </c>
      <c r="AX59" s="351"/>
      <c r="AY59" s="100">
        <f t="shared" si="52"/>
        <v>9.9166666666666661</v>
      </c>
      <c r="AZ59" s="360"/>
      <c r="BA59" s="91">
        <f t="shared" si="139"/>
        <v>-500.44588033333372</v>
      </c>
      <c r="BB59" s="5">
        <f t="shared" si="134"/>
        <v>-9.9166666666666661</v>
      </c>
      <c r="BC59" s="363"/>
      <c r="BD59" s="91" t="e">
        <f t="shared" ca="1" si="6"/>
        <v>#N/A</v>
      </c>
      <c r="BE59" s="91" t="e">
        <f t="shared" ca="1" si="7"/>
        <v>#N/A</v>
      </c>
      <c r="BF59" s="91">
        <f t="shared" si="8"/>
        <v>31.833333333333329</v>
      </c>
      <c r="BG59" s="91" t="e">
        <f t="shared" ca="1" si="9"/>
        <v>#N/A</v>
      </c>
      <c r="BH59" s="91" t="e">
        <f t="shared" ca="1" si="61"/>
        <v>#N/A</v>
      </c>
      <c r="BI59" s="10" t="e">
        <f t="shared" ca="1" si="40"/>
        <v>#N/A</v>
      </c>
      <c r="BJ59" s="104">
        <f>((M59+Q59)*AJ59+AK59)+((U59-W59+W59/('Vergleich Holz Strom'!$B$8-0.6))*AO59+AP59)</f>
        <v>21.916666666666664</v>
      </c>
      <c r="BK59" s="10" t="e">
        <f t="shared" ca="1" si="135"/>
        <v>#N/A</v>
      </c>
      <c r="BL59" s="379"/>
      <c r="BM59" s="104" t="e">
        <f t="shared" ca="1" si="27"/>
        <v>#N/A</v>
      </c>
      <c r="BN59" s="40" t="e">
        <f ca="1">IF(ISNUMBER(BK59),BN58+SUMIF(BK50:BK61,"&lt;&gt;#NV",BK50:BK61)/COUNTIF(BK50:BK61,"&lt;&gt;#NV"),#N/A)</f>
        <v>#N/A</v>
      </c>
      <c r="BO59" s="10" t="e">
        <f ca="1">BK59+AT59+AU59</f>
        <v>#N/A</v>
      </c>
      <c r="BP59" s="104" t="e">
        <f t="shared" ca="1" si="136"/>
        <v>#N/A</v>
      </c>
      <c r="BQ59" s="104">
        <f t="shared" ca="1" si="154"/>
        <v>-61849.502546999924</v>
      </c>
      <c r="BR59" s="10">
        <f t="shared" si="12"/>
        <v>9.9166666666666661</v>
      </c>
      <c r="BS59" s="311"/>
      <c r="BT59" s="307"/>
      <c r="BU59" s="295">
        <f t="shared" si="13"/>
        <v>0</v>
      </c>
      <c r="BV59" s="323"/>
      <c r="BW59" s="299">
        <f t="shared" si="14"/>
        <v>0</v>
      </c>
      <c r="BX59" s="295">
        <f t="shared" si="15"/>
        <v>0</v>
      </c>
      <c r="BY59" s="382"/>
      <c r="BZ59" s="299">
        <f t="shared" si="30"/>
        <v>0</v>
      </c>
      <c r="CA59" s="295">
        <f t="shared" si="42"/>
        <v>0</v>
      </c>
      <c r="CB59" s="323"/>
      <c r="CC59" s="314">
        <f t="shared" si="76"/>
        <v>0</v>
      </c>
      <c r="CD59" s="326"/>
      <c r="CE59" s="299">
        <f t="shared" si="17"/>
        <v>0</v>
      </c>
      <c r="CF59" s="284">
        <f t="shared" si="77"/>
        <v>0</v>
      </c>
      <c r="CG59" s="323"/>
      <c r="CH59" s="302">
        <f t="shared" si="58"/>
        <v>0</v>
      </c>
      <c r="CI59" s="108">
        <f t="shared" si="19"/>
        <v>0</v>
      </c>
      <c r="CJ59" s="200">
        <f t="shared" si="20"/>
        <v>0</v>
      </c>
      <c r="CK59" s="197">
        <f t="shared" si="51"/>
        <v>0</v>
      </c>
      <c r="CL59" s="203">
        <f t="shared" si="21"/>
        <v>12</v>
      </c>
      <c r="CM59" s="4">
        <f>U59*Jahresdaten!$AD$2</f>
        <v>0</v>
      </c>
      <c r="CN59" s="112">
        <f>CJ59*Jahresdaten!$AD$2</f>
        <v>0</v>
      </c>
      <c r="CO59" s="366"/>
      <c r="CP59" s="116">
        <f>U59*Jahresdaten!$AD$3</f>
        <v>0</v>
      </c>
      <c r="CQ59" s="12">
        <f>CJ59*Jahresdaten!$AD$3</f>
        <v>0</v>
      </c>
      <c r="CR59" s="353"/>
      <c r="CS59" s="14"/>
      <c r="CT59" s="136"/>
      <c r="CU59" s="140" t="str">
        <f>IF(CT59=0,"",CT59*'Vergleich Holz Strom'!$B$2)</f>
        <v/>
      </c>
      <c r="CV59" s="353"/>
      <c r="CW59" s="366"/>
      <c r="CX59" s="345"/>
      <c r="CY59" s="345"/>
      <c r="CZ59" s="345"/>
      <c r="DA59" s="348"/>
      <c r="DB59" s="94"/>
      <c r="DC59" s="88">
        <f t="shared" si="53"/>
        <v>8163.3446666666614</v>
      </c>
      <c r="DD59" s="94"/>
      <c r="DE59" s="88">
        <f t="shared" si="56"/>
        <v>-5687.1125469999997</v>
      </c>
      <c r="DF59" s="100" t="e">
        <f ca="1">BE59+(SUM(CS50:CS61)/12)</f>
        <v>#N/A</v>
      </c>
      <c r="DG59" s="351"/>
      <c r="DH59" s="8">
        <f t="shared" si="140"/>
        <v>0</v>
      </c>
      <c r="DI59" s="123">
        <f t="shared" si="137"/>
        <v>18250</v>
      </c>
      <c r="DJ59" s="2">
        <f t="shared" si="141"/>
        <v>0</v>
      </c>
      <c r="DK59" s="127">
        <f>DK61/12*10</f>
        <v>6500</v>
      </c>
      <c r="DL59" s="2">
        <f t="shared" si="114"/>
        <v>650</v>
      </c>
      <c r="DM59" s="130">
        <f t="shared" si="142"/>
        <v>0</v>
      </c>
      <c r="DN59" s="3">
        <f>DN61/12*10</f>
        <v>2500</v>
      </c>
      <c r="DO59" s="130">
        <f t="shared" si="116"/>
        <v>250</v>
      </c>
      <c r="DP59" s="4">
        <f t="shared" si="143"/>
        <v>0</v>
      </c>
      <c r="DQ59" s="116">
        <f t="shared" si="144"/>
        <v>9250</v>
      </c>
      <c r="DR59" s="116">
        <f t="shared" si="147"/>
        <v>150</v>
      </c>
    </row>
    <row r="60" spans="1:122" ht="14.25" customHeight="1" thickBot="1" x14ac:dyDescent="0.2">
      <c r="A60" s="416"/>
      <c r="B60" s="16">
        <v>45139</v>
      </c>
      <c r="C60" s="207">
        <f>'PV-Felder'!$I$9</f>
        <v>3065.7</v>
      </c>
      <c r="D60" s="351"/>
      <c r="E60" s="61">
        <v>0</v>
      </c>
      <c r="F60" s="351"/>
      <c r="G60" s="56" t="e">
        <f t="shared" ca="1" si="0"/>
        <v>#N/A</v>
      </c>
      <c r="H60" s="351"/>
      <c r="I60" s="61">
        <v>0</v>
      </c>
      <c r="J60" s="351"/>
      <c r="K60" s="61">
        <v>0</v>
      </c>
      <c r="L60" s="351"/>
      <c r="M60" s="65">
        <f t="shared" si="1"/>
        <v>0</v>
      </c>
      <c r="N60" s="373"/>
      <c r="O60" s="288"/>
      <c r="P60" s="288"/>
      <c r="Q60" s="286">
        <f t="shared" si="2"/>
        <v>0</v>
      </c>
      <c r="R60" s="334"/>
      <c r="S60" s="61">
        <v>0</v>
      </c>
      <c r="T60" s="376"/>
      <c r="U60" s="61">
        <v>0</v>
      </c>
      <c r="V60" s="342"/>
      <c r="W60" s="61">
        <v>0</v>
      </c>
      <c r="X60" s="342"/>
      <c r="Y60" s="211" t="e">
        <f t="shared" si="106"/>
        <v>#N/A</v>
      </c>
      <c r="Z60" s="370"/>
      <c r="AA60" s="61">
        <v>0</v>
      </c>
      <c r="AB60" s="351"/>
      <c r="AC60" s="61">
        <v>0</v>
      </c>
      <c r="AD60" s="351"/>
      <c r="AE60" s="73" t="e">
        <f t="shared" si="131"/>
        <v>#N/A</v>
      </c>
      <c r="AF60" s="356"/>
      <c r="AG60" s="73" t="e">
        <f t="shared" si="132"/>
        <v>#N/A</v>
      </c>
      <c r="AH60" s="356"/>
      <c r="AI60" s="221">
        <f t="shared" si="145"/>
        <v>29.26</v>
      </c>
      <c r="AJ60" s="78">
        <f t="shared" ref="AJ60:AM60" si="156">AJ59</f>
        <v>0.26750000000000002</v>
      </c>
      <c r="AK60" s="79">
        <f t="shared" si="156"/>
        <v>9.9166666666666661</v>
      </c>
      <c r="AL60" s="80">
        <f t="shared" si="156"/>
        <v>187</v>
      </c>
      <c r="AM60" s="78">
        <f t="shared" si="156"/>
        <v>9.737942583732058E-2</v>
      </c>
      <c r="AN60" s="80">
        <f t="shared" si="138"/>
        <v>143</v>
      </c>
      <c r="AO60" s="78">
        <f t="shared" si="138"/>
        <v>0.21099999999999999</v>
      </c>
      <c r="AP60" s="88">
        <f t="shared" si="138"/>
        <v>12</v>
      </c>
      <c r="AQ60" s="64">
        <f t="shared" si="47"/>
        <v>21.5</v>
      </c>
      <c r="AR60" s="64">
        <f t="shared" si="48"/>
        <v>11.5</v>
      </c>
      <c r="AS60" s="88">
        <f t="shared" si="50"/>
        <v>1.1830000000000001</v>
      </c>
      <c r="AT60" s="91">
        <f t="shared" si="89"/>
        <v>283</v>
      </c>
      <c r="AU60" s="94"/>
      <c r="AV60" s="95"/>
      <c r="AW60" s="56">
        <f t="shared" si="4"/>
        <v>0</v>
      </c>
      <c r="AX60" s="351"/>
      <c r="AY60" s="100">
        <f t="shared" si="52"/>
        <v>9.9166666666666661</v>
      </c>
      <c r="AZ60" s="360"/>
      <c r="BA60" s="91">
        <f t="shared" si="139"/>
        <v>-510.3625470000004</v>
      </c>
      <c r="BB60" s="5">
        <f t="shared" si="134"/>
        <v>-9.9166666666666661</v>
      </c>
      <c r="BC60" s="363"/>
      <c r="BD60" s="91" t="e">
        <f t="shared" ca="1" si="6"/>
        <v>#N/A</v>
      </c>
      <c r="BE60" s="91" t="e">
        <f t="shared" ca="1" si="7"/>
        <v>#N/A</v>
      </c>
      <c r="BF60" s="91">
        <f t="shared" si="8"/>
        <v>31.833333333333329</v>
      </c>
      <c r="BG60" s="91" t="e">
        <f t="shared" ca="1" si="9"/>
        <v>#N/A</v>
      </c>
      <c r="BH60" s="91" t="e">
        <f t="shared" ca="1" si="61"/>
        <v>#N/A</v>
      </c>
      <c r="BI60" s="10" t="e">
        <f t="shared" ca="1" si="40"/>
        <v>#N/A</v>
      </c>
      <c r="BJ60" s="104">
        <f>((M60+Q60)*AJ60+AK60)+((U60-W60+W60/('Vergleich Holz Strom'!$B$8-0.6))*AO60+AP60)</f>
        <v>21.916666666666664</v>
      </c>
      <c r="BK60" s="10" t="e">
        <f t="shared" ca="1" si="135"/>
        <v>#N/A</v>
      </c>
      <c r="BL60" s="379"/>
      <c r="BM60" s="104" t="e">
        <f t="shared" ca="1" si="27"/>
        <v>#N/A</v>
      </c>
      <c r="BN60" s="40" t="e">
        <f ca="1">IF(ISNUMBER(BK60),BN59+SUMIF(BK50:BK61,"&lt;&gt;#NV",BK50:BK61)/COUNTIF(BK50:BK61,"&lt;&gt;#NV"),#N/A)</f>
        <v>#N/A</v>
      </c>
      <c r="BO60" s="10" t="e">
        <f t="shared" ref="BO60:BO70" ca="1" si="157">BK60+AT60+AU60</f>
        <v>#N/A</v>
      </c>
      <c r="BP60" s="104" t="e">
        <f t="shared" ca="1" si="136"/>
        <v>#N/A</v>
      </c>
      <c r="BQ60" s="104">
        <f t="shared" ca="1" si="154"/>
        <v>-61833.902546999925</v>
      </c>
      <c r="BR60" s="10">
        <f t="shared" si="12"/>
        <v>9.9166666666666661</v>
      </c>
      <c r="BS60" s="311"/>
      <c r="BT60" s="307"/>
      <c r="BU60" s="295">
        <f t="shared" si="13"/>
        <v>0</v>
      </c>
      <c r="BV60" s="323"/>
      <c r="BW60" s="299">
        <f t="shared" si="14"/>
        <v>0</v>
      </c>
      <c r="BX60" s="295">
        <f t="shared" si="15"/>
        <v>0</v>
      </c>
      <c r="BY60" s="382"/>
      <c r="BZ60" s="299">
        <f t="shared" si="30"/>
        <v>0</v>
      </c>
      <c r="CA60" s="295">
        <f t="shared" si="42"/>
        <v>0</v>
      </c>
      <c r="CB60" s="323"/>
      <c r="CC60" s="314">
        <f t="shared" si="76"/>
        <v>0</v>
      </c>
      <c r="CD60" s="326"/>
      <c r="CE60" s="299">
        <f t="shared" si="17"/>
        <v>0</v>
      </c>
      <c r="CF60" s="284">
        <f t="shared" si="77"/>
        <v>0</v>
      </c>
      <c r="CG60" s="323"/>
      <c r="CH60" s="302">
        <f t="shared" si="58"/>
        <v>0</v>
      </c>
      <c r="CI60" s="108">
        <f t="shared" si="19"/>
        <v>0</v>
      </c>
      <c r="CJ60" s="200">
        <f t="shared" si="20"/>
        <v>0</v>
      </c>
      <c r="CK60" s="197">
        <f t="shared" si="51"/>
        <v>0</v>
      </c>
      <c r="CL60" s="203">
        <f t="shared" si="21"/>
        <v>12</v>
      </c>
      <c r="CM60" s="4">
        <f>U60*Jahresdaten!$AD$2</f>
        <v>0</v>
      </c>
      <c r="CN60" s="112">
        <f>CJ60*Jahresdaten!$AD$2</f>
        <v>0</v>
      </c>
      <c r="CO60" s="366"/>
      <c r="CP60" s="116">
        <f>U60*Jahresdaten!$AD$3</f>
        <v>0</v>
      </c>
      <c r="CQ60" s="12">
        <f>CJ60*Jahresdaten!$AD$3</f>
        <v>0</v>
      </c>
      <c r="CR60" s="353"/>
      <c r="CS60" s="14"/>
      <c r="CT60" s="136"/>
      <c r="CU60" s="140" t="str">
        <f>IF(CT60=0,"",CT60*'Vergleich Holz Strom'!$B$2)</f>
        <v/>
      </c>
      <c r="CV60" s="353"/>
      <c r="CW60" s="366"/>
      <c r="CX60" s="345"/>
      <c r="CY60" s="345"/>
      <c r="CZ60" s="345"/>
      <c r="DA60" s="348"/>
      <c r="DB60" s="94"/>
      <c r="DC60" s="88">
        <f t="shared" si="53"/>
        <v>8340.4279999999944</v>
      </c>
      <c r="DD60" s="94"/>
      <c r="DE60" s="88">
        <f t="shared" si="56"/>
        <v>-5830.1125469999997</v>
      </c>
      <c r="DF60" s="100" t="e">
        <f ca="1">BE60+(SUM(CS50:CS61)/12)</f>
        <v>#N/A</v>
      </c>
      <c r="DG60" s="351"/>
      <c r="DH60" s="8">
        <f t="shared" si="140"/>
        <v>0</v>
      </c>
      <c r="DI60" s="123">
        <f t="shared" si="137"/>
        <v>19300</v>
      </c>
      <c r="DJ60" s="2">
        <f t="shared" si="141"/>
        <v>0</v>
      </c>
      <c r="DK60" s="127">
        <f>DK61/12*11</f>
        <v>7150</v>
      </c>
      <c r="DL60" s="2">
        <f t="shared" si="114"/>
        <v>650</v>
      </c>
      <c r="DM60" s="130">
        <f t="shared" si="142"/>
        <v>0</v>
      </c>
      <c r="DN60" s="3">
        <f>DN61/12*11</f>
        <v>2750</v>
      </c>
      <c r="DO60" s="130">
        <f t="shared" si="116"/>
        <v>250</v>
      </c>
      <c r="DP60" s="4">
        <f t="shared" si="143"/>
        <v>0</v>
      </c>
      <c r="DQ60" s="116">
        <f t="shared" si="144"/>
        <v>9400</v>
      </c>
      <c r="DR60" s="116">
        <f t="shared" si="147"/>
        <v>150</v>
      </c>
    </row>
    <row r="61" spans="1:122" s="28" customFormat="1" ht="15" customHeight="1" thickBot="1" x14ac:dyDescent="0.2">
      <c r="A61" s="417"/>
      <c r="B61" s="18">
        <v>45170</v>
      </c>
      <c r="C61" s="208">
        <f>'PV-Felder'!$I$10</f>
        <v>2246.7000000000003</v>
      </c>
      <c r="D61" s="352"/>
      <c r="E61" s="63">
        <v>0</v>
      </c>
      <c r="F61" s="352"/>
      <c r="G61" s="57" t="e">
        <f t="shared" ca="1" si="0"/>
        <v>#N/A</v>
      </c>
      <c r="H61" s="352"/>
      <c r="I61" s="63">
        <v>0</v>
      </c>
      <c r="J61" s="352"/>
      <c r="K61" s="63">
        <v>0</v>
      </c>
      <c r="L61" s="352"/>
      <c r="M61" s="67">
        <f t="shared" si="1"/>
        <v>0</v>
      </c>
      <c r="N61" s="374"/>
      <c r="O61" s="290"/>
      <c r="P61" s="290"/>
      <c r="Q61" s="289">
        <f t="shared" si="2"/>
        <v>0</v>
      </c>
      <c r="R61" s="334"/>
      <c r="S61" s="63">
        <v>0</v>
      </c>
      <c r="T61" s="377"/>
      <c r="U61" s="63">
        <v>0</v>
      </c>
      <c r="V61" s="343"/>
      <c r="W61" s="63">
        <v>0</v>
      </c>
      <c r="X61" s="343"/>
      <c r="Y61" s="213" t="e">
        <f t="shared" si="106"/>
        <v>#N/A</v>
      </c>
      <c r="Z61" s="371"/>
      <c r="AA61" s="63">
        <v>0</v>
      </c>
      <c r="AB61" s="352"/>
      <c r="AC61" s="63">
        <v>0</v>
      </c>
      <c r="AD61" s="352"/>
      <c r="AE61" s="75" t="e">
        <f t="shared" si="131"/>
        <v>#N/A</v>
      </c>
      <c r="AF61" s="357"/>
      <c r="AG61" s="75" t="e">
        <f t="shared" si="132"/>
        <v>#N/A</v>
      </c>
      <c r="AH61" s="357"/>
      <c r="AI61" s="223">
        <f>AI60</f>
        <v>29.26</v>
      </c>
      <c r="AJ61" s="83">
        <f t="shared" ref="AJ61:AM61" si="158">AJ60</f>
        <v>0.26750000000000002</v>
      </c>
      <c r="AK61" s="21">
        <f t="shared" si="158"/>
        <v>9.9166666666666661</v>
      </c>
      <c r="AL61" s="84">
        <f t="shared" si="158"/>
        <v>187</v>
      </c>
      <c r="AM61" s="83">
        <f t="shared" si="158"/>
        <v>9.737942583732058E-2</v>
      </c>
      <c r="AN61" s="84">
        <f t="shared" si="138"/>
        <v>143</v>
      </c>
      <c r="AO61" s="83">
        <f t="shared" si="138"/>
        <v>0.21099999999999999</v>
      </c>
      <c r="AP61" s="90">
        <f t="shared" si="138"/>
        <v>12</v>
      </c>
      <c r="AQ61" s="125">
        <f t="shared" si="47"/>
        <v>21.5</v>
      </c>
      <c r="AR61" s="125">
        <f t="shared" si="48"/>
        <v>11.5</v>
      </c>
      <c r="AS61" s="92">
        <f t="shared" si="50"/>
        <v>1.1830000000000001</v>
      </c>
      <c r="AT61" s="92">
        <f t="shared" si="89"/>
        <v>283</v>
      </c>
      <c r="AU61" s="98"/>
      <c r="AV61" s="99"/>
      <c r="AW61" s="57">
        <f t="shared" si="4"/>
        <v>0</v>
      </c>
      <c r="AX61" s="352"/>
      <c r="AY61" s="102">
        <f t="shared" si="52"/>
        <v>9.9166666666666661</v>
      </c>
      <c r="AZ61" s="361"/>
      <c r="BA61" s="92">
        <f t="shared" si="139"/>
        <v>-520.27921366666703</v>
      </c>
      <c r="BB61" s="22">
        <f t="shared" si="134"/>
        <v>-9.9166666666666661</v>
      </c>
      <c r="BC61" s="364"/>
      <c r="BD61" s="92" t="e">
        <f t="shared" ca="1" si="6"/>
        <v>#N/A</v>
      </c>
      <c r="BE61" s="92" t="e">
        <f t="shared" ca="1" si="7"/>
        <v>#N/A</v>
      </c>
      <c r="BF61" s="92">
        <f t="shared" si="8"/>
        <v>31.833333333333329</v>
      </c>
      <c r="BG61" s="92" t="e">
        <f t="shared" ca="1" si="9"/>
        <v>#N/A</v>
      </c>
      <c r="BH61" s="92" t="e">
        <f t="shared" ca="1" si="61"/>
        <v>#N/A</v>
      </c>
      <c r="BI61" s="24" t="e">
        <f t="shared" ca="1" si="40"/>
        <v>#N/A</v>
      </c>
      <c r="BJ61" s="106">
        <f>((M61+Q61)*AJ61+AK61)+((U61-W61+W61/('Vergleich Holz Strom'!$B$8-0.6))*AO61+AP61)</f>
        <v>21.916666666666664</v>
      </c>
      <c r="BK61" s="24" t="e">
        <f t="shared" ca="1" si="135"/>
        <v>#N/A</v>
      </c>
      <c r="BL61" s="380"/>
      <c r="BM61" s="106" t="e">
        <f t="shared" ca="1" si="27"/>
        <v>#N/A</v>
      </c>
      <c r="BN61" s="226" t="e">
        <f ca="1">IF(ISNUMBER(BK61),BN60+SUMIF(BK50:BK61,"&lt;&gt;#NV",BK50:BK61)/COUNTIF(BK50:BK61,"&lt;&gt;#NV"),#N/A)</f>
        <v>#N/A</v>
      </c>
      <c r="BO61" s="318" t="e">
        <f t="shared" ca="1" si="157"/>
        <v>#N/A</v>
      </c>
      <c r="BP61" s="106" t="e">
        <f t="shared" ca="1" si="136"/>
        <v>#N/A</v>
      </c>
      <c r="BQ61" s="106">
        <f t="shared" ca="1" si="154"/>
        <v>-61818.302546999927</v>
      </c>
      <c r="BR61" s="24">
        <f t="shared" si="12"/>
        <v>9.9166666666666661</v>
      </c>
      <c r="BS61" s="312"/>
      <c r="BT61" s="308"/>
      <c r="BU61" s="296">
        <f t="shared" si="13"/>
        <v>0</v>
      </c>
      <c r="BV61" s="324"/>
      <c r="BW61" s="292">
        <f t="shared" si="14"/>
        <v>0</v>
      </c>
      <c r="BX61" s="295">
        <f t="shared" si="15"/>
        <v>0</v>
      </c>
      <c r="BY61" s="382"/>
      <c r="BZ61" s="299">
        <f t="shared" si="30"/>
        <v>0</v>
      </c>
      <c r="CA61" s="296">
        <f t="shared" si="42"/>
        <v>0</v>
      </c>
      <c r="CB61" s="324"/>
      <c r="CC61" s="315">
        <f t="shared" si="76"/>
        <v>0</v>
      </c>
      <c r="CD61" s="327"/>
      <c r="CE61" s="292">
        <f t="shared" si="17"/>
        <v>0</v>
      </c>
      <c r="CF61" s="296">
        <f t="shared" si="77"/>
        <v>0</v>
      </c>
      <c r="CG61" s="324"/>
      <c r="CH61" s="303">
        <f t="shared" si="58"/>
        <v>0</v>
      </c>
      <c r="CI61" s="110">
        <f t="shared" si="19"/>
        <v>0</v>
      </c>
      <c r="CJ61" s="200">
        <f t="shared" si="20"/>
        <v>0</v>
      </c>
      <c r="CK61" s="25">
        <f t="shared" si="51"/>
        <v>0</v>
      </c>
      <c r="CL61" s="204">
        <f t="shared" si="21"/>
        <v>12</v>
      </c>
      <c r="CM61" s="26">
        <f>U61*Jahresdaten!$AD$2</f>
        <v>0</v>
      </c>
      <c r="CN61" s="114">
        <f>CJ61*Jahresdaten!$AD$2</f>
        <v>0</v>
      </c>
      <c r="CO61" s="346"/>
      <c r="CP61" s="118">
        <f>U61*Jahresdaten!$AD$3</f>
        <v>0</v>
      </c>
      <c r="CQ61" s="25">
        <f>CJ61*Jahresdaten!$AD$3</f>
        <v>0</v>
      </c>
      <c r="CR61" s="354"/>
      <c r="CS61" s="23"/>
      <c r="CT61" s="138"/>
      <c r="CU61" s="141" t="str">
        <f>IF(CT61=0,"",CT61*'Vergleich Holz Strom'!$B$2)</f>
        <v/>
      </c>
      <c r="CV61" s="354"/>
      <c r="CW61" s="346"/>
      <c r="CX61" s="346"/>
      <c r="CY61" s="346"/>
      <c r="CZ61" s="346"/>
      <c r="DA61" s="349"/>
      <c r="DB61" s="98"/>
      <c r="DC61" s="90">
        <f t="shared" si="53"/>
        <v>8517.5113333333284</v>
      </c>
      <c r="DD61" s="98"/>
      <c r="DE61" s="90">
        <f t="shared" si="56"/>
        <v>-5973.1125469999997</v>
      </c>
      <c r="DF61" s="102" t="e">
        <f ca="1">BE61+(SUM(CS50:CS61)/12)</f>
        <v>#N/A</v>
      </c>
      <c r="DG61" s="352"/>
      <c r="DH61" s="19">
        <f t="shared" si="140"/>
        <v>0</v>
      </c>
      <c r="DI61" s="125">
        <f t="shared" si="137"/>
        <v>20800</v>
      </c>
      <c r="DJ61" s="20">
        <f t="shared" si="141"/>
        <v>0</v>
      </c>
      <c r="DK61" s="129">
        <f>DK49</f>
        <v>7800</v>
      </c>
      <c r="DL61" s="20">
        <f t="shared" si="114"/>
        <v>650</v>
      </c>
      <c r="DM61" s="132">
        <f t="shared" si="142"/>
        <v>0</v>
      </c>
      <c r="DN61" s="27">
        <f>DN49</f>
        <v>3000</v>
      </c>
      <c r="DO61" s="132">
        <f t="shared" si="116"/>
        <v>250</v>
      </c>
      <c r="DP61" s="26">
        <f t="shared" si="143"/>
        <v>0</v>
      </c>
      <c r="DQ61" s="118">
        <f>DQ49</f>
        <v>10000</v>
      </c>
      <c r="DR61" s="118">
        <f>DR49</f>
        <v>600</v>
      </c>
    </row>
    <row r="62" spans="1:122" ht="15" customHeight="1" thickBot="1" x14ac:dyDescent="0.2">
      <c r="A62" s="415" t="s">
        <v>163</v>
      </c>
      <c r="B62" s="16">
        <v>45200</v>
      </c>
      <c r="C62" s="207">
        <f>'PV-Felder'!$I$11</f>
        <v>1416.7</v>
      </c>
      <c r="D62" s="358">
        <f>SUMIF(E62:E73,"&gt;0",C62:C73)</f>
        <v>0</v>
      </c>
      <c r="E62" s="61">
        <v>0</v>
      </c>
      <c r="F62" s="368">
        <f>SUM(E62:E73)</f>
        <v>0</v>
      </c>
      <c r="G62" s="58" t="e">
        <f t="shared" ca="1" si="0"/>
        <v>#N/A</v>
      </c>
      <c r="H62" s="358" t="e">
        <f ca="1">IF(TODAY()&lt;B62,#N/A,F62-D62)</f>
        <v>#N/A</v>
      </c>
      <c r="I62" s="61">
        <v>0</v>
      </c>
      <c r="J62" s="368">
        <f>SUM(I62:I73)</f>
        <v>0</v>
      </c>
      <c r="K62" s="61">
        <v>0</v>
      </c>
      <c r="L62" s="368">
        <f>SUM(K62:K73)</f>
        <v>0</v>
      </c>
      <c r="M62" s="66">
        <f t="shared" si="1"/>
        <v>0</v>
      </c>
      <c r="N62" s="372">
        <f>SUM(M62:M73)</f>
        <v>0</v>
      </c>
      <c r="Q62" s="287">
        <f t="shared" si="2"/>
        <v>0</v>
      </c>
      <c r="R62" s="333">
        <f>SUM(Q62:Q73)</f>
        <v>0</v>
      </c>
      <c r="S62" s="61">
        <v>0</v>
      </c>
      <c r="T62" s="375">
        <f>SUM(S62:S73)</f>
        <v>0</v>
      </c>
      <c r="U62" s="61">
        <v>0</v>
      </c>
      <c r="V62" s="341">
        <f>SUM(U62:U73)</f>
        <v>0</v>
      </c>
      <c r="W62" s="61">
        <v>0</v>
      </c>
      <c r="X62" s="341">
        <f>SUM(W62:W73)</f>
        <v>0</v>
      </c>
      <c r="Y62" s="211" t="e">
        <f t="shared" si="106"/>
        <v>#N/A</v>
      </c>
      <c r="Z62" s="369">
        <f>N62+T62+V62</f>
        <v>0</v>
      </c>
      <c r="AA62" s="62">
        <v>0</v>
      </c>
      <c r="AB62" s="368">
        <f>SUM(AA62:AA73)</f>
        <v>0</v>
      </c>
      <c r="AC62" s="62">
        <v>0</v>
      </c>
      <c r="AD62" s="368">
        <f>SUM(AC62:AC73)</f>
        <v>0</v>
      </c>
      <c r="AE62" s="74" t="e">
        <f t="shared" si="131"/>
        <v>#N/A</v>
      </c>
      <c r="AF62" s="355" t="e">
        <f>IF(SUMIF(AE62:AE73,"&gt;0")&gt;0,SUMIF(AE62:AE73,"&gt;0")/COUNTIF(AE62:AE73,"&gt;0"),#N/A)</f>
        <v>#N/A</v>
      </c>
      <c r="AG62" s="73" t="e">
        <f t="shared" si="132"/>
        <v>#N/A</v>
      </c>
      <c r="AH62" s="355" t="e">
        <f>IF(SUMIF(AG62:AG73,"&gt;0")&gt;0,SUMIF(AG62:AG73,"&gt;0")/COUNTIF(AG62:AG73,"&gt;0"),#N/A)</f>
        <v>#N/A</v>
      </c>
      <c r="AI62" s="222">
        <f>AI61</f>
        <v>29.26</v>
      </c>
      <c r="AJ62" s="78">
        <f t="shared" ref="AJ62:AP62" si="159">AJ61</f>
        <v>0.26750000000000002</v>
      </c>
      <c r="AK62" s="79">
        <f t="shared" si="159"/>
        <v>9.9166666666666661</v>
      </c>
      <c r="AL62" s="80">
        <f t="shared" si="159"/>
        <v>187</v>
      </c>
      <c r="AM62" s="78">
        <f t="shared" si="159"/>
        <v>9.737942583732058E-2</v>
      </c>
      <c r="AN62" s="80">
        <f t="shared" si="159"/>
        <v>143</v>
      </c>
      <c r="AO62" s="78">
        <f t="shared" si="159"/>
        <v>0.21099999999999999</v>
      </c>
      <c r="AP62" s="88">
        <f t="shared" si="159"/>
        <v>12</v>
      </c>
      <c r="AQ62" s="64">
        <f t="shared" si="47"/>
        <v>21.5</v>
      </c>
      <c r="AR62" s="64">
        <f t="shared" si="48"/>
        <v>11.5</v>
      </c>
      <c r="AS62" s="88">
        <f t="shared" si="50"/>
        <v>1.1830000000000001</v>
      </c>
      <c r="AT62" s="91">
        <f t="shared" si="89"/>
        <v>283</v>
      </c>
      <c r="AU62" s="94"/>
      <c r="AV62" s="95"/>
      <c r="AW62" s="56">
        <f t="shared" si="4"/>
        <v>0</v>
      </c>
      <c r="AX62" s="358">
        <f>SUM(AW62:AW73)</f>
        <v>0</v>
      </c>
      <c r="AY62" s="100">
        <f t="shared" si="52"/>
        <v>9.9166666666666661</v>
      </c>
      <c r="AZ62" s="359">
        <f>SUM(AY62:AY73)</f>
        <v>119.00000000000001</v>
      </c>
      <c r="BA62" s="103">
        <f>BA61-AY62</f>
        <v>-530.19588033333366</v>
      </c>
      <c r="BB62" s="5">
        <f t="shared" si="134"/>
        <v>-9.9166666666666661</v>
      </c>
      <c r="BC62" s="362">
        <f>SUM(AY62:AY73)/12</f>
        <v>9.9166666666666679</v>
      </c>
      <c r="BD62" s="91" t="e">
        <f t="shared" ca="1" si="6"/>
        <v>#N/A</v>
      </c>
      <c r="BE62" s="91" t="e">
        <f t="shared" ca="1" si="7"/>
        <v>#N/A</v>
      </c>
      <c r="BF62" s="91">
        <f t="shared" si="8"/>
        <v>31.833333333333329</v>
      </c>
      <c r="BG62" s="91" t="e">
        <f t="shared" ca="1" si="9"/>
        <v>#N/A</v>
      </c>
      <c r="BH62" s="91" t="e">
        <f t="shared" ca="1" si="61"/>
        <v>#N/A</v>
      </c>
      <c r="BI62" s="10" t="e">
        <f t="shared" ca="1" si="40"/>
        <v>#N/A</v>
      </c>
      <c r="BJ62" s="104">
        <f>((M62+Q62)*AJ62+AK62)+((U62-W62+W62/('Vergleich Holz Strom'!$B$8-0.6))*AO62+AP62)</f>
        <v>21.916666666666664</v>
      </c>
      <c r="BK62" s="10" t="e">
        <f t="shared" ca="1" si="135"/>
        <v>#N/A</v>
      </c>
      <c r="BL62" s="378">
        <f ca="1">SUMIF(BK62:BK73,"&lt;&gt;#NV",BK62:BK73)</f>
        <v>0</v>
      </c>
      <c r="BM62" s="104" t="e">
        <f t="shared" ca="1" si="27"/>
        <v>#N/A</v>
      </c>
      <c r="BN62" s="40" t="e">
        <f ca="1">IF(ISNUMBER(BK62),BN61+SUMIF(BK62:BK73,"&lt;&gt;#NV",BK62:BK73)/COUNTIF(BK62:BK73,"&lt;&gt;#NV"),#N/A)</f>
        <v>#N/A</v>
      </c>
      <c r="BO62" s="10" t="e">
        <f t="shared" ca="1" si="157"/>
        <v>#N/A</v>
      </c>
      <c r="BP62" s="105" t="e">
        <f t="shared" ca="1" si="136"/>
        <v>#N/A</v>
      </c>
      <c r="BQ62" s="104">
        <f t="shared" ca="1" si="154"/>
        <v>-61806.302546999927</v>
      </c>
      <c r="BR62" s="10">
        <f t="shared" si="12"/>
        <v>9.9166666666666661</v>
      </c>
      <c r="BS62" s="311"/>
      <c r="BT62" s="307"/>
      <c r="BU62" s="295">
        <f t="shared" si="13"/>
        <v>0</v>
      </c>
      <c r="BV62" s="322">
        <f>SUM(BU62:BU73)</f>
        <v>0</v>
      </c>
      <c r="BW62" s="300">
        <f t="shared" si="14"/>
        <v>0</v>
      </c>
      <c r="BX62" s="305">
        <f t="shared" si="15"/>
        <v>0</v>
      </c>
      <c r="BY62" s="381">
        <f>SUM(BX62:BX73)</f>
        <v>0</v>
      </c>
      <c r="BZ62" s="300">
        <f t="shared" si="30"/>
        <v>0</v>
      </c>
      <c r="CA62" s="295">
        <f t="shared" si="42"/>
        <v>0</v>
      </c>
      <c r="CB62" s="322">
        <f>SUM(CA62:CA73)</f>
        <v>0</v>
      </c>
      <c r="CC62" s="314">
        <f t="shared" si="76"/>
        <v>0</v>
      </c>
      <c r="CD62" s="325">
        <f>SUM(CC62:CC73)</f>
        <v>0</v>
      </c>
      <c r="CE62" s="299">
        <f t="shared" si="17"/>
        <v>0</v>
      </c>
      <c r="CF62" s="284">
        <f t="shared" si="77"/>
        <v>0</v>
      </c>
      <c r="CG62" s="328">
        <f>SUM(CF62:CF73)</f>
        <v>0</v>
      </c>
      <c r="CH62" s="302">
        <f t="shared" si="58"/>
        <v>0</v>
      </c>
      <c r="CI62" s="108">
        <f t="shared" si="19"/>
        <v>0</v>
      </c>
      <c r="CJ62" s="201">
        <f t="shared" si="20"/>
        <v>0</v>
      </c>
      <c r="CK62" s="197">
        <f t="shared" si="51"/>
        <v>0</v>
      </c>
      <c r="CL62" s="203">
        <f t="shared" si="21"/>
        <v>12</v>
      </c>
      <c r="CM62" s="4">
        <f>U62*Jahresdaten!$AD$2</f>
        <v>0</v>
      </c>
      <c r="CN62" s="112">
        <f>CJ62*Jahresdaten!$AD$2</f>
        <v>0</v>
      </c>
      <c r="CO62" s="365">
        <f>CW62*Jahresdaten!$AD$2</f>
        <v>856.59076092206669</v>
      </c>
      <c r="CP62" s="116">
        <f>U62*Jahresdaten!$AD$3</f>
        <v>0</v>
      </c>
      <c r="CQ62" s="12">
        <f>CJ62*Jahresdaten!$AD$3</f>
        <v>0</v>
      </c>
      <c r="CR62" s="367">
        <f>CW62*Jahresdaten!$AD$3</f>
        <v>312.40923907793319</v>
      </c>
      <c r="CS62" s="14">
        <f>CS50</f>
        <v>1169</v>
      </c>
      <c r="CT62" s="136">
        <f>CT50</f>
        <v>12</v>
      </c>
      <c r="CU62" s="140">
        <f>IF(CT62=0,"",CT62*'Vergleich Holz Strom'!$B$2)</f>
        <v>25800</v>
      </c>
      <c r="CV62" s="120" t="s">
        <v>7</v>
      </c>
      <c r="CW62" s="365">
        <f>CV63+CV69</f>
        <v>1169</v>
      </c>
      <c r="CX62" s="344">
        <f>SUM(CS62:CS73)/SUM(CU62:CU73)*(SUM(CU62:CU73)+(V62*('Vergleich Holz Strom'!$B$8-0.6)/'Vergleich Holz Strom'!$E$6))</f>
        <v>1169</v>
      </c>
      <c r="CY62" s="344">
        <f>SUM(CU62:CU73)*'Vergleich Holz Strom'!$E$6/('Vergleich Holz Strom'!$B$8-0.6)*(SUM(AJ62:AJ73)/12)+CV63</f>
        <v>1420.8970588235295</v>
      </c>
      <c r="CZ62" s="344">
        <f>SUM(CU62:CU73)*'Vergleich Holz Strom'!$E$6/('Vergleich Holz Strom'!$B$8-0.6)*SUM(AM62:AM73)/12+SUM(CK62:CK73)</f>
        <v>517.25659724176774</v>
      </c>
      <c r="DA62" s="347">
        <f>SUM(CU62:CU73)*'Vergleich Holz Strom'!$E$6/('Vergleich Holz Strom'!$B$8-0.6)*(SUM(AO62:AO73)/12)+SUM(CL62:CL73)</f>
        <v>1264.7823529411764</v>
      </c>
      <c r="DB62" s="94"/>
      <c r="DC62" s="88">
        <f t="shared" si="53"/>
        <v>8694.5946666666623</v>
      </c>
      <c r="DD62" s="94"/>
      <c r="DE62" s="88">
        <f t="shared" si="56"/>
        <v>-6116.1125469999997</v>
      </c>
      <c r="DF62" s="100" t="e">
        <f ca="1">BE62+(SUM(CS62:CS73)/12)</f>
        <v>#N/A</v>
      </c>
      <c r="DG62" s="350">
        <f ca="1">SUMIF(DF62:DF73,"&gt;0")</f>
        <v>0</v>
      </c>
      <c r="DH62" s="8">
        <f>M62+S62+U62</f>
        <v>0</v>
      </c>
      <c r="DI62" s="123">
        <f t="shared" si="137"/>
        <v>1850</v>
      </c>
      <c r="DJ62" s="2">
        <f>M62</f>
        <v>0</v>
      </c>
      <c r="DK62" s="127">
        <f>DK73/12*1</f>
        <v>650</v>
      </c>
      <c r="DL62" s="2">
        <f>DL61</f>
        <v>650</v>
      </c>
      <c r="DM62" s="130">
        <f>S62</f>
        <v>0</v>
      </c>
      <c r="DN62" s="3">
        <f>DN73/12*1</f>
        <v>250</v>
      </c>
      <c r="DO62" s="130">
        <f>DO61</f>
        <v>250</v>
      </c>
      <c r="DP62" s="4">
        <f>U62</f>
        <v>0</v>
      </c>
      <c r="DQ62" s="116">
        <f>DR62</f>
        <v>950</v>
      </c>
      <c r="DR62" s="116">
        <f>DR50</f>
        <v>950</v>
      </c>
    </row>
    <row r="63" spans="1:122" ht="14.25" customHeight="1" thickBot="1" x14ac:dyDescent="0.2">
      <c r="A63" s="416"/>
      <c r="B63" s="16">
        <v>45231</v>
      </c>
      <c r="C63" s="207">
        <f>'PV-Felder'!$I$12</f>
        <v>739.6</v>
      </c>
      <c r="D63" s="351"/>
      <c r="E63" s="61">
        <v>0</v>
      </c>
      <c r="F63" s="351"/>
      <c r="G63" s="56" t="e">
        <f t="shared" ca="1" si="0"/>
        <v>#N/A</v>
      </c>
      <c r="H63" s="351"/>
      <c r="I63" s="61">
        <v>0</v>
      </c>
      <c r="J63" s="351"/>
      <c r="K63" s="61">
        <v>0</v>
      </c>
      <c r="L63" s="351"/>
      <c r="M63" s="65">
        <f t="shared" si="1"/>
        <v>0</v>
      </c>
      <c r="N63" s="373"/>
      <c r="O63" s="288"/>
      <c r="P63" s="288"/>
      <c r="Q63" s="286">
        <f t="shared" si="2"/>
        <v>0</v>
      </c>
      <c r="R63" s="334"/>
      <c r="S63" s="61">
        <v>0</v>
      </c>
      <c r="T63" s="376"/>
      <c r="U63" s="61">
        <v>0</v>
      </c>
      <c r="V63" s="342"/>
      <c r="W63" s="61">
        <v>0</v>
      </c>
      <c r="X63" s="342"/>
      <c r="Y63" s="211" t="e">
        <f t="shared" si="106"/>
        <v>#N/A</v>
      </c>
      <c r="Z63" s="370"/>
      <c r="AA63" s="61">
        <v>0</v>
      </c>
      <c r="AB63" s="351"/>
      <c r="AC63" s="61">
        <v>0</v>
      </c>
      <c r="AD63" s="351"/>
      <c r="AE63" s="73" t="e">
        <f t="shared" si="131"/>
        <v>#N/A</v>
      </c>
      <c r="AF63" s="356"/>
      <c r="AG63" s="73" t="e">
        <f t="shared" si="132"/>
        <v>#N/A</v>
      </c>
      <c r="AH63" s="356"/>
      <c r="AI63" s="221">
        <f>AI62</f>
        <v>29.26</v>
      </c>
      <c r="AJ63" s="78">
        <f t="shared" ref="AJ63:AN63" si="160">AJ62</f>
        <v>0.26750000000000002</v>
      </c>
      <c r="AK63" s="79">
        <f t="shared" si="160"/>
        <v>9.9166666666666661</v>
      </c>
      <c r="AL63" s="80">
        <f t="shared" si="160"/>
        <v>187</v>
      </c>
      <c r="AM63" s="78">
        <f t="shared" si="160"/>
        <v>9.737942583732058E-2</v>
      </c>
      <c r="AN63" s="80">
        <f t="shared" si="160"/>
        <v>143</v>
      </c>
      <c r="AO63" s="78">
        <f>AO62</f>
        <v>0.21099999999999999</v>
      </c>
      <c r="AP63" s="88">
        <f>AP62</f>
        <v>12</v>
      </c>
      <c r="AQ63" s="64">
        <f t="shared" si="47"/>
        <v>21.5</v>
      </c>
      <c r="AR63" s="64">
        <f t="shared" si="48"/>
        <v>11.5</v>
      </c>
      <c r="AS63" s="88">
        <f t="shared" si="50"/>
        <v>1.1830000000000001</v>
      </c>
      <c r="AT63" s="91">
        <f t="shared" si="89"/>
        <v>283</v>
      </c>
      <c r="AU63" s="94"/>
      <c r="AV63" s="95"/>
      <c r="AW63" s="56">
        <f t="shared" si="4"/>
        <v>0</v>
      </c>
      <c r="AX63" s="351"/>
      <c r="AY63" s="100">
        <f t="shared" si="52"/>
        <v>9.9166666666666661</v>
      </c>
      <c r="AZ63" s="360"/>
      <c r="BA63" s="91">
        <f t="shared" ref="BA63:BA73" si="161">BA62-AY63</f>
        <v>-540.11254700000029</v>
      </c>
      <c r="BB63" s="5">
        <f t="shared" si="134"/>
        <v>-9.9166666666666661</v>
      </c>
      <c r="BC63" s="363"/>
      <c r="BD63" s="91" t="e">
        <f t="shared" ca="1" si="6"/>
        <v>#N/A</v>
      </c>
      <c r="BE63" s="91" t="e">
        <f t="shared" ca="1" si="7"/>
        <v>#N/A</v>
      </c>
      <c r="BF63" s="91">
        <f t="shared" si="8"/>
        <v>31.833333333333329</v>
      </c>
      <c r="BG63" s="91" t="e">
        <f t="shared" ca="1" si="9"/>
        <v>#N/A</v>
      </c>
      <c r="BH63" s="91" t="e">
        <f t="shared" ca="1" si="61"/>
        <v>#N/A</v>
      </c>
      <c r="BI63" s="10" t="e">
        <f t="shared" ca="1" si="40"/>
        <v>#N/A</v>
      </c>
      <c r="BJ63" s="104">
        <f>((M63+Q63)*AJ63+AK63)+((U63-W63+W63/('Vergleich Holz Strom'!$B$8-0.6))*AO63+AP63)</f>
        <v>21.916666666666664</v>
      </c>
      <c r="BK63" s="10" t="e">
        <f t="shared" ca="1" si="135"/>
        <v>#N/A</v>
      </c>
      <c r="BL63" s="379"/>
      <c r="BM63" s="104" t="e">
        <f t="shared" ca="1" si="27"/>
        <v>#N/A</v>
      </c>
      <c r="BN63" s="40" t="e">
        <f ca="1">IF(ISNUMBER(BK63),BN62+SUMIF(BK62:BK73,"&lt;&gt;#NV",BK62:BK73)/COUNTIF(BK62:BK73,"&lt;&gt;#NV"),#N/A)</f>
        <v>#N/A</v>
      </c>
      <c r="BO63" s="10" t="e">
        <f t="shared" ca="1" si="157"/>
        <v>#N/A</v>
      </c>
      <c r="BP63" s="104" t="e">
        <f t="shared" ca="1" si="136"/>
        <v>#N/A</v>
      </c>
      <c r="BQ63" s="104">
        <f t="shared" ca="1" si="154"/>
        <v>-61794.302546999927</v>
      </c>
      <c r="BR63" s="10">
        <f t="shared" si="12"/>
        <v>9.9166666666666661</v>
      </c>
      <c r="BS63" s="311"/>
      <c r="BT63" s="307"/>
      <c r="BU63" s="295">
        <f t="shared" si="13"/>
        <v>0</v>
      </c>
      <c r="BV63" s="323"/>
      <c r="BW63" s="299">
        <f t="shared" si="14"/>
        <v>0</v>
      </c>
      <c r="BX63" s="295">
        <f t="shared" si="15"/>
        <v>0</v>
      </c>
      <c r="BY63" s="382"/>
      <c r="BZ63" s="299">
        <f t="shared" si="30"/>
        <v>0</v>
      </c>
      <c r="CA63" s="295">
        <f t="shared" si="42"/>
        <v>0</v>
      </c>
      <c r="CB63" s="323"/>
      <c r="CC63" s="314">
        <f>Q63/AQ63*100+BS63/AQ63*100</f>
        <v>0</v>
      </c>
      <c r="CD63" s="326"/>
      <c r="CE63" s="299">
        <f t="shared" si="17"/>
        <v>0</v>
      </c>
      <c r="CF63" s="284">
        <f>CE63-CA63</f>
        <v>0</v>
      </c>
      <c r="CG63" s="323"/>
      <c r="CH63" s="302">
        <f t="shared" si="58"/>
        <v>0</v>
      </c>
      <c r="CI63" s="108">
        <f t="shared" si="19"/>
        <v>0</v>
      </c>
      <c r="CJ63" s="200">
        <f t="shared" si="20"/>
        <v>0</v>
      </c>
      <c r="CK63" s="197">
        <f t="shared" si="51"/>
        <v>0</v>
      </c>
      <c r="CL63" s="203">
        <f t="shared" si="21"/>
        <v>12</v>
      </c>
      <c r="CM63" s="4">
        <f>U63*Jahresdaten!$AD$2</f>
        <v>0</v>
      </c>
      <c r="CN63" s="112">
        <f>CJ63*Jahresdaten!$AD$2</f>
        <v>0</v>
      </c>
      <c r="CO63" s="366"/>
      <c r="CP63" s="116">
        <f>U63*Jahresdaten!$AD$3</f>
        <v>0</v>
      </c>
      <c r="CQ63" s="12">
        <f>CJ63*Jahresdaten!$AD$3</f>
        <v>0</v>
      </c>
      <c r="CR63" s="353"/>
      <c r="CS63" s="14"/>
      <c r="CT63" s="136"/>
      <c r="CU63" s="140" t="str">
        <f>IF(CT63=0,"",CT63*'Vergleich Holz Strom'!$B$2)</f>
        <v/>
      </c>
      <c r="CV63" s="353">
        <f>SUM(CJ62:CJ73)</f>
        <v>0</v>
      </c>
      <c r="CW63" s="366"/>
      <c r="CX63" s="345"/>
      <c r="CY63" s="345"/>
      <c r="CZ63" s="345"/>
      <c r="DA63" s="348"/>
      <c r="DB63" s="94"/>
      <c r="DC63" s="88">
        <f t="shared" si="53"/>
        <v>8871.6779999999962</v>
      </c>
      <c r="DD63" s="94"/>
      <c r="DE63" s="88">
        <f t="shared" si="56"/>
        <v>-6259.1125469999997</v>
      </c>
      <c r="DF63" s="100" t="e">
        <f ca="1">BE63+(SUM(CS62:CS73)/12)</f>
        <v>#N/A</v>
      </c>
      <c r="DG63" s="351"/>
      <c r="DH63" s="8">
        <f t="shared" ref="DH63:DH73" si="162">DH62+M63+S63+U63</f>
        <v>0</v>
      </c>
      <c r="DI63" s="123">
        <f t="shared" si="137"/>
        <v>3550</v>
      </c>
      <c r="DJ63" s="2">
        <f t="shared" ref="DJ63:DJ73" si="163">DJ62+M63</f>
        <v>0</v>
      </c>
      <c r="DK63" s="127">
        <f>DK73/12*2</f>
        <v>1300</v>
      </c>
      <c r="DL63" s="2">
        <f t="shared" si="114"/>
        <v>650</v>
      </c>
      <c r="DM63" s="130">
        <f t="shared" ref="DM63:DM73" si="164">DM62+S63</f>
        <v>0</v>
      </c>
      <c r="DN63" s="3">
        <f>DN73/12*2</f>
        <v>500</v>
      </c>
      <c r="DO63" s="130">
        <f t="shared" si="116"/>
        <v>250</v>
      </c>
      <c r="DP63" s="4">
        <f t="shared" ref="DP63:DP73" si="165">DP62+U63</f>
        <v>0</v>
      </c>
      <c r="DQ63" s="116">
        <f t="shared" ref="DQ63:DQ72" si="166">DQ62+DR63</f>
        <v>1750</v>
      </c>
      <c r="DR63" s="116">
        <f>DR51</f>
        <v>800</v>
      </c>
    </row>
    <row r="64" spans="1:122" ht="14.25" customHeight="1" thickBot="1" x14ac:dyDescent="0.2">
      <c r="A64" s="416"/>
      <c r="B64" s="16">
        <v>45261</v>
      </c>
      <c r="C64" s="207">
        <f>'PV-Felder'!$I$13</f>
        <v>559.9</v>
      </c>
      <c r="D64" s="351"/>
      <c r="E64" s="61">
        <v>0</v>
      </c>
      <c r="F64" s="351"/>
      <c r="G64" s="56" t="e">
        <f t="shared" ca="1" si="0"/>
        <v>#N/A</v>
      </c>
      <c r="H64" s="351"/>
      <c r="I64" s="61">
        <v>0</v>
      </c>
      <c r="J64" s="351"/>
      <c r="K64" s="61">
        <v>0</v>
      </c>
      <c r="L64" s="351"/>
      <c r="M64" s="65">
        <f t="shared" si="1"/>
        <v>0</v>
      </c>
      <c r="N64" s="373"/>
      <c r="O64" s="288"/>
      <c r="P64" s="288"/>
      <c r="Q64" s="286">
        <f t="shared" si="2"/>
        <v>0</v>
      </c>
      <c r="R64" s="334"/>
      <c r="S64" s="61">
        <v>0</v>
      </c>
      <c r="T64" s="376"/>
      <c r="U64" s="61">
        <v>0</v>
      </c>
      <c r="V64" s="342"/>
      <c r="W64" s="61">
        <v>0</v>
      </c>
      <c r="X64" s="342"/>
      <c r="Y64" s="211" t="e">
        <f t="shared" si="106"/>
        <v>#N/A</v>
      </c>
      <c r="Z64" s="370"/>
      <c r="AA64" s="61">
        <v>0</v>
      </c>
      <c r="AB64" s="351"/>
      <c r="AC64" s="61">
        <v>0</v>
      </c>
      <c r="AD64" s="351"/>
      <c r="AE64" s="73" t="e">
        <f t="shared" si="131"/>
        <v>#N/A</v>
      </c>
      <c r="AF64" s="356"/>
      <c r="AG64" s="73" t="e">
        <f t="shared" si="132"/>
        <v>#N/A</v>
      </c>
      <c r="AH64" s="356"/>
      <c r="AI64" s="221">
        <f t="shared" ref="AI64:AI72" si="167">AI63</f>
        <v>29.26</v>
      </c>
      <c r="AJ64" s="78">
        <f t="shared" ref="AJ64:AN64" si="168">AJ63</f>
        <v>0.26750000000000002</v>
      </c>
      <c r="AK64" s="79">
        <f t="shared" si="168"/>
        <v>9.9166666666666661</v>
      </c>
      <c r="AL64" s="80">
        <f t="shared" si="168"/>
        <v>187</v>
      </c>
      <c r="AM64" s="78">
        <f t="shared" si="168"/>
        <v>9.737942583732058E-2</v>
      </c>
      <c r="AN64" s="80">
        <f t="shared" si="168"/>
        <v>143</v>
      </c>
      <c r="AO64" s="78">
        <f>AO63</f>
        <v>0.21099999999999999</v>
      </c>
      <c r="AP64" s="88">
        <f>AP63</f>
        <v>12</v>
      </c>
      <c r="AQ64" s="64">
        <f t="shared" si="47"/>
        <v>21.5</v>
      </c>
      <c r="AR64" s="64">
        <f t="shared" si="48"/>
        <v>11.5</v>
      </c>
      <c r="AS64" s="88">
        <f t="shared" si="50"/>
        <v>1.1830000000000001</v>
      </c>
      <c r="AT64" s="91">
        <f t="shared" si="89"/>
        <v>283</v>
      </c>
      <c r="AU64" s="94"/>
      <c r="AV64" s="95"/>
      <c r="AW64" s="56">
        <f t="shared" si="4"/>
        <v>0</v>
      </c>
      <c r="AX64" s="351"/>
      <c r="AY64" s="100">
        <f t="shared" si="52"/>
        <v>9.9166666666666661</v>
      </c>
      <c r="AZ64" s="360"/>
      <c r="BA64" s="91">
        <f t="shared" si="161"/>
        <v>-550.02921366666692</v>
      </c>
      <c r="BB64" s="5">
        <f t="shared" si="134"/>
        <v>-9.9166666666666661</v>
      </c>
      <c r="BC64" s="363"/>
      <c r="BD64" s="91" t="e">
        <f t="shared" ca="1" si="6"/>
        <v>#N/A</v>
      </c>
      <c r="BE64" s="91" t="e">
        <f t="shared" ca="1" si="7"/>
        <v>#N/A</v>
      </c>
      <c r="BF64" s="91">
        <f t="shared" si="8"/>
        <v>31.833333333333329</v>
      </c>
      <c r="BG64" s="91" t="e">
        <f t="shared" ca="1" si="9"/>
        <v>#N/A</v>
      </c>
      <c r="BH64" s="91" t="e">
        <f t="shared" ca="1" si="61"/>
        <v>#N/A</v>
      </c>
      <c r="BI64" s="10" t="e">
        <f t="shared" ca="1" si="40"/>
        <v>#N/A</v>
      </c>
      <c r="BJ64" s="104">
        <f>((M64+Q64)*AJ64+AK64)+((U64-W64+W64/('Vergleich Holz Strom'!$B$8-0.6))*AO64+AP64)</f>
        <v>21.916666666666664</v>
      </c>
      <c r="BK64" s="10" t="e">
        <f t="shared" ca="1" si="135"/>
        <v>#N/A</v>
      </c>
      <c r="BL64" s="379"/>
      <c r="BM64" s="104" t="e">
        <f t="shared" ca="1" si="27"/>
        <v>#N/A</v>
      </c>
      <c r="BN64" s="40" t="e">
        <f ca="1">IF(ISNUMBER(BK64),BN63+SUMIF(BK62:BK73,"&lt;&gt;#NV",BK62:BK73)/COUNTIF(BK62:BK73,"&lt;&gt;#NV"),#N/A)</f>
        <v>#N/A</v>
      </c>
      <c r="BO64" s="10" t="e">
        <f t="shared" ca="1" si="157"/>
        <v>#N/A</v>
      </c>
      <c r="BP64" s="104" t="e">
        <f t="shared" ca="1" si="136"/>
        <v>#N/A</v>
      </c>
      <c r="BQ64" s="104">
        <f t="shared" ca="1" si="154"/>
        <v>-61782.302546999927</v>
      </c>
      <c r="BR64" s="10">
        <f t="shared" si="12"/>
        <v>9.9166666666666661</v>
      </c>
      <c r="BS64" s="311"/>
      <c r="BT64" s="307"/>
      <c r="BU64" s="295">
        <f t="shared" si="13"/>
        <v>0</v>
      </c>
      <c r="BV64" s="323"/>
      <c r="BW64" s="299">
        <f t="shared" si="14"/>
        <v>0</v>
      </c>
      <c r="BX64" s="295">
        <f t="shared" si="15"/>
        <v>0</v>
      </c>
      <c r="BY64" s="382"/>
      <c r="BZ64" s="299">
        <f t="shared" si="30"/>
        <v>0</v>
      </c>
      <c r="CA64" s="295">
        <f t="shared" si="42"/>
        <v>0</v>
      </c>
      <c r="CB64" s="323"/>
      <c r="CC64" s="314">
        <f t="shared" si="76"/>
        <v>0</v>
      </c>
      <c r="CD64" s="326"/>
      <c r="CE64" s="299">
        <f t="shared" si="17"/>
        <v>0</v>
      </c>
      <c r="CF64" s="284">
        <f t="shared" si="77"/>
        <v>0</v>
      </c>
      <c r="CG64" s="323"/>
      <c r="CH64" s="302">
        <f t="shared" si="58"/>
        <v>0</v>
      </c>
      <c r="CI64" s="108">
        <f t="shared" si="19"/>
        <v>0</v>
      </c>
      <c r="CJ64" s="200">
        <f t="shared" si="20"/>
        <v>0</v>
      </c>
      <c r="CK64" s="197">
        <f t="shared" si="51"/>
        <v>0</v>
      </c>
      <c r="CL64" s="203">
        <f t="shared" si="21"/>
        <v>12</v>
      </c>
      <c r="CM64" s="4">
        <f>U64*Jahresdaten!$AD$2</f>
        <v>0</v>
      </c>
      <c r="CN64" s="112">
        <f>CJ64*Jahresdaten!$AD$2</f>
        <v>0</v>
      </c>
      <c r="CO64" s="366"/>
      <c r="CP64" s="116">
        <f>U64*Jahresdaten!$AD$3</f>
        <v>0</v>
      </c>
      <c r="CQ64" s="12">
        <f>CJ64*Jahresdaten!$AD$3</f>
        <v>0</v>
      </c>
      <c r="CR64" s="353"/>
      <c r="CS64" s="14"/>
      <c r="CT64" s="136"/>
      <c r="CU64" s="140" t="str">
        <f>IF(CT64=0,"",CT64*'Vergleich Holz Strom'!$B$2)</f>
        <v/>
      </c>
      <c r="CV64" s="353"/>
      <c r="CW64" s="366"/>
      <c r="CX64" s="345"/>
      <c r="CY64" s="345"/>
      <c r="CZ64" s="345"/>
      <c r="DA64" s="348"/>
      <c r="DB64" s="94"/>
      <c r="DC64" s="88">
        <f t="shared" si="53"/>
        <v>9048.7613333333302</v>
      </c>
      <c r="DD64" s="94"/>
      <c r="DE64" s="88">
        <f t="shared" si="56"/>
        <v>-6402.1125469999997</v>
      </c>
      <c r="DF64" s="100" t="e">
        <f ca="1">BE64+(SUM(CS62:CS73)/12)</f>
        <v>#N/A</v>
      </c>
      <c r="DG64" s="351"/>
      <c r="DH64" s="8">
        <f t="shared" si="162"/>
        <v>0</v>
      </c>
      <c r="DI64" s="123">
        <f t="shared" si="137"/>
        <v>5300</v>
      </c>
      <c r="DJ64" s="2">
        <f t="shared" si="163"/>
        <v>0</v>
      </c>
      <c r="DK64" s="127">
        <f>DK73/12*3</f>
        <v>1950</v>
      </c>
      <c r="DL64" s="2">
        <f t="shared" si="114"/>
        <v>650</v>
      </c>
      <c r="DM64" s="130">
        <f t="shared" si="164"/>
        <v>0</v>
      </c>
      <c r="DN64" s="3">
        <f>DN73/12*3</f>
        <v>750</v>
      </c>
      <c r="DO64" s="130">
        <f t="shared" si="116"/>
        <v>250</v>
      </c>
      <c r="DP64" s="4">
        <f t="shared" si="165"/>
        <v>0</v>
      </c>
      <c r="DQ64" s="116">
        <f t="shared" si="166"/>
        <v>2600</v>
      </c>
      <c r="DR64" s="116">
        <f t="shared" ref="DR64:DR72" si="169">DR52</f>
        <v>850.00000000000011</v>
      </c>
    </row>
    <row r="65" spans="1:122" ht="14.25" customHeight="1" thickBot="1" x14ac:dyDescent="0.2">
      <c r="A65" s="416"/>
      <c r="B65" s="16">
        <v>45292</v>
      </c>
      <c r="C65" s="207">
        <f>'PV-Felder'!$I$2</f>
        <v>660.80000000000007</v>
      </c>
      <c r="D65" s="351"/>
      <c r="E65" s="61">
        <v>0</v>
      </c>
      <c r="F65" s="351"/>
      <c r="G65" s="56" t="e">
        <f t="shared" ca="1" si="0"/>
        <v>#N/A</v>
      </c>
      <c r="H65" s="351"/>
      <c r="I65" s="61">
        <v>0</v>
      </c>
      <c r="J65" s="351"/>
      <c r="K65" s="61">
        <v>0</v>
      </c>
      <c r="L65" s="351"/>
      <c r="M65" s="65">
        <f t="shared" si="1"/>
        <v>0</v>
      </c>
      <c r="N65" s="373"/>
      <c r="O65" s="288"/>
      <c r="P65" s="288"/>
      <c r="Q65" s="286">
        <f t="shared" si="2"/>
        <v>0</v>
      </c>
      <c r="R65" s="334"/>
      <c r="S65" s="61">
        <v>0</v>
      </c>
      <c r="T65" s="376"/>
      <c r="U65" s="61">
        <v>0</v>
      </c>
      <c r="V65" s="342"/>
      <c r="W65" s="61">
        <v>0</v>
      </c>
      <c r="X65" s="342"/>
      <c r="Y65" s="211" t="e">
        <f t="shared" si="106"/>
        <v>#N/A</v>
      </c>
      <c r="Z65" s="370"/>
      <c r="AA65" s="61">
        <v>0</v>
      </c>
      <c r="AB65" s="351"/>
      <c r="AC65" s="61">
        <v>0</v>
      </c>
      <c r="AD65" s="351"/>
      <c r="AE65" s="73" t="e">
        <f t="shared" si="131"/>
        <v>#N/A</v>
      </c>
      <c r="AF65" s="356"/>
      <c r="AG65" s="73" t="e">
        <f t="shared" si="132"/>
        <v>#N/A</v>
      </c>
      <c r="AH65" s="356"/>
      <c r="AI65" s="221">
        <f t="shared" si="167"/>
        <v>29.26</v>
      </c>
      <c r="AJ65" s="78">
        <f t="shared" ref="AJ65:AP65" si="170">AJ64</f>
        <v>0.26750000000000002</v>
      </c>
      <c r="AK65" s="79">
        <f t="shared" si="170"/>
        <v>9.9166666666666661</v>
      </c>
      <c r="AL65" s="80">
        <f t="shared" si="170"/>
        <v>187</v>
      </c>
      <c r="AM65" s="78">
        <f t="shared" si="170"/>
        <v>9.737942583732058E-2</v>
      </c>
      <c r="AN65" s="80">
        <f t="shared" si="170"/>
        <v>143</v>
      </c>
      <c r="AO65" s="78">
        <f t="shared" si="170"/>
        <v>0.21099999999999999</v>
      </c>
      <c r="AP65" s="88">
        <f t="shared" si="170"/>
        <v>12</v>
      </c>
      <c r="AQ65" s="64">
        <f t="shared" si="47"/>
        <v>21.5</v>
      </c>
      <c r="AR65" s="64">
        <f t="shared" si="48"/>
        <v>11.5</v>
      </c>
      <c r="AS65" s="88">
        <f t="shared" si="50"/>
        <v>1.1830000000000001</v>
      </c>
      <c r="AT65" s="91">
        <f t="shared" si="89"/>
        <v>283</v>
      </c>
      <c r="AU65" s="94"/>
      <c r="AV65" s="95"/>
      <c r="AW65" s="56">
        <f t="shared" si="4"/>
        <v>0</v>
      </c>
      <c r="AX65" s="351"/>
      <c r="AY65" s="100">
        <f t="shared" si="52"/>
        <v>9.9166666666666661</v>
      </c>
      <c r="AZ65" s="360"/>
      <c r="BA65" s="91">
        <f t="shared" si="161"/>
        <v>-559.94588033333355</v>
      </c>
      <c r="BB65" s="5">
        <f t="shared" si="134"/>
        <v>-9.9166666666666661</v>
      </c>
      <c r="BC65" s="363"/>
      <c r="BD65" s="91" t="e">
        <f t="shared" ca="1" si="6"/>
        <v>#N/A</v>
      </c>
      <c r="BE65" s="91" t="e">
        <f t="shared" ca="1" si="7"/>
        <v>#N/A</v>
      </c>
      <c r="BF65" s="91">
        <f t="shared" si="8"/>
        <v>31.833333333333329</v>
      </c>
      <c r="BG65" s="91" t="e">
        <f t="shared" ca="1" si="9"/>
        <v>#N/A</v>
      </c>
      <c r="BH65" s="91" t="e">
        <f t="shared" ca="1" si="61"/>
        <v>#N/A</v>
      </c>
      <c r="BI65" s="10" t="e">
        <f t="shared" ca="1" si="40"/>
        <v>#N/A</v>
      </c>
      <c r="BJ65" s="104">
        <f>((M65+Q65)*AJ65+AK65)+((U65-W65+W65/('Vergleich Holz Strom'!$B$8-0.6))*AO65+AP65)</f>
        <v>21.916666666666664</v>
      </c>
      <c r="BK65" s="10" t="e">
        <f t="shared" ca="1" si="135"/>
        <v>#N/A</v>
      </c>
      <c r="BL65" s="379"/>
      <c r="BM65" s="104" t="e">
        <f t="shared" ca="1" si="27"/>
        <v>#N/A</v>
      </c>
      <c r="BN65" s="40" t="e">
        <f ca="1">IF(ISNUMBER(BK65),BN64+SUMIF(BK62:BK73,"&lt;&gt;#NV",BK62:BK73)/COUNTIF(BK62:BK73,"&lt;&gt;#NV"),#N/A)</f>
        <v>#N/A</v>
      </c>
      <c r="BO65" s="10" t="e">
        <f t="shared" ca="1" si="157"/>
        <v>#N/A</v>
      </c>
      <c r="BP65" s="104" t="e">
        <f t="shared" ca="1" si="136"/>
        <v>#N/A</v>
      </c>
      <c r="BQ65" s="104">
        <f t="shared" ca="1" si="154"/>
        <v>-61770.302546999927</v>
      </c>
      <c r="BR65" s="10">
        <f t="shared" si="12"/>
        <v>9.9166666666666661</v>
      </c>
      <c r="BS65" s="311"/>
      <c r="BT65" s="307"/>
      <c r="BU65" s="295">
        <f t="shared" si="13"/>
        <v>0</v>
      </c>
      <c r="BV65" s="323"/>
      <c r="BW65" s="299">
        <f t="shared" si="14"/>
        <v>0</v>
      </c>
      <c r="BX65" s="295">
        <f t="shared" si="15"/>
        <v>0</v>
      </c>
      <c r="BY65" s="382"/>
      <c r="BZ65" s="299">
        <f t="shared" si="30"/>
        <v>0</v>
      </c>
      <c r="CA65" s="295">
        <f t="shared" si="42"/>
        <v>0</v>
      </c>
      <c r="CB65" s="323"/>
      <c r="CC65" s="314">
        <f t="shared" si="76"/>
        <v>0</v>
      </c>
      <c r="CD65" s="326"/>
      <c r="CE65" s="299">
        <f t="shared" si="17"/>
        <v>0</v>
      </c>
      <c r="CF65" s="284">
        <f t="shared" si="77"/>
        <v>0</v>
      </c>
      <c r="CG65" s="323"/>
      <c r="CH65" s="302">
        <f t="shared" si="58"/>
        <v>0</v>
      </c>
      <c r="CI65" s="108">
        <f t="shared" si="19"/>
        <v>0</v>
      </c>
      <c r="CJ65" s="200">
        <f t="shared" si="20"/>
        <v>0</v>
      </c>
      <c r="CK65" s="197">
        <f t="shared" si="51"/>
        <v>0</v>
      </c>
      <c r="CL65" s="203">
        <f t="shared" si="21"/>
        <v>12</v>
      </c>
      <c r="CM65" s="4">
        <f>U65*Jahresdaten!$AD$2</f>
        <v>0</v>
      </c>
      <c r="CN65" s="112">
        <f>CJ65*Jahresdaten!$AD$2</f>
        <v>0</v>
      </c>
      <c r="CO65" s="366"/>
      <c r="CP65" s="116">
        <f>U65*Jahresdaten!$AD$3</f>
        <v>0</v>
      </c>
      <c r="CQ65" s="12">
        <f>CJ65*Jahresdaten!$AD$3</f>
        <v>0</v>
      </c>
      <c r="CR65" s="353"/>
      <c r="CS65" s="14"/>
      <c r="CT65" s="136"/>
      <c r="CU65" s="140" t="str">
        <f>IF(CT65=0,"",CT65*'Vergleich Holz Strom'!$B$2)</f>
        <v/>
      </c>
      <c r="CV65" s="353"/>
      <c r="CW65" s="366"/>
      <c r="CX65" s="345"/>
      <c r="CY65" s="345"/>
      <c r="CZ65" s="345"/>
      <c r="DA65" s="348"/>
      <c r="DB65" s="94"/>
      <c r="DC65" s="88">
        <f t="shared" si="53"/>
        <v>9225.8446666666641</v>
      </c>
      <c r="DD65" s="94"/>
      <c r="DE65" s="88">
        <f t="shared" si="56"/>
        <v>-6545.1125469999997</v>
      </c>
      <c r="DF65" s="100" t="e">
        <f ca="1">BE65+(SUM(CS62:CS73)/12)</f>
        <v>#N/A</v>
      </c>
      <c r="DG65" s="351"/>
      <c r="DH65" s="8">
        <f t="shared" si="162"/>
        <v>0</v>
      </c>
      <c r="DI65" s="123">
        <f t="shared" si="137"/>
        <v>7350</v>
      </c>
      <c r="DJ65" s="2">
        <f t="shared" si="163"/>
        <v>0</v>
      </c>
      <c r="DK65" s="127">
        <f>DK73/12*4</f>
        <v>2600</v>
      </c>
      <c r="DL65" s="2">
        <f t="shared" si="114"/>
        <v>650</v>
      </c>
      <c r="DM65" s="130">
        <f t="shared" si="164"/>
        <v>0</v>
      </c>
      <c r="DN65" s="3">
        <f>DN73/12*4</f>
        <v>1000</v>
      </c>
      <c r="DO65" s="130">
        <f t="shared" si="116"/>
        <v>250</v>
      </c>
      <c r="DP65" s="4">
        <f t="shared" si="165"/>
        <v>0</v>
      </c>
      <c r="DQ65" s="116">
        <f t="shared" si="166"/>
        <v>3750</v>
      </c>
      <c r="DR65" s="116">
        <f t="shared" si="169"/>
        <v>1150</v>
      </c>
    </row>
    <row r="66" spans="1:122" ht="14.25" customHeight="1" thickBot="1" x14ac:dyDescent="0.2">
      <c r="A66" s="416"/>
      <c r="B66" s="16">
        <v>45323</v>
      </c>
      <c r="C66" s="207">
        <f>'PV-Felder'!$I$3</f>
        <v>922.2</v>
      </c>
      <c r="D66" s="351"/>
      <c r="E66" s="61">
        <v>0</v>
      </c>
      <c r="F66" s="351"/>
      <c r="G66" s="56" t="e">
        <f t="shared" ref="G66:G129" ca="1" si="171">IF(TODAY()&lt;B67,IF(E66&gt;0,E66-C66,#N/A),E66-C66)</f>
        <v>#N/A</v>
      </c>
      <c r="H66" s="351"/>
      <c r="I66" s="61">
        <v>0</v>
      </c>
      <c r="J66" s="351"/>
      <c r="K66" s="61">
        <v>0</v>
      </c>
      <c r="L66" s="351"/>
      <c r="M66" s="65">
        <f t="shared" si="1"/>
        <v>0</v>
      </c>
      <c r="N66" s="373"/>
      <c r="O66" s="288"/>
      <c r="P66" s="288"/>
      <c r="Q66" s="286">
        <f t="shared" ref="Q66:Q129" si="172">O66-P66</f>
        <v>0</v>
      </c>
      <c r="R66" s="334"/>
      <c r="S66" s="61">
        <v>0</v>
      </c>
      <c r="T66" s="376"/>
      <c r="U66" s="61">
        <v>0</v>
      </c>
      <c r="V66" s="342"/>
      <c r="W66" s="61">
        <v>0</v>
      </c>
      <c r="X66" s="342"/>
      <c r="Y66" s="211" t="e">
        <f t="shared" si="106"/>
        <v>#N/A</v>
      </c>
      <c r="Z66" s="370"/>
      <c r="AA66" s="61">
        <v>0</v>
      </c>
      <c r="AB66" s="351"/>
      <c r="AC66" s="61">
        <v>0</v>
      </c>
      <c r="AD66" s="351"/>
      <c r="AE66" s="73" t="e">
        <f t="shared" si="131"/>
        <v>#N/A</v>
      </c>
      <c r="AF66" s="356"/>
      <c r="AG66" s="73" t="e">
        <f t="shared" si="132"/>
        <v>#N/A</v>
      </c>
      <c r="AH66" s="356"/>
      <c r="AI66" s="221">
        <f t="shared" si="167"/>
        <v>29.26</v>
      </c>
      <c r="AJ66" s="78">
        <f t="shared" ref="AJ66:AP66" si="173">AJ65</f>
        <v>0.26750000000000002</v>
      </c>
      <c r="AK66" s="79">
        <f t="shared" si="173"/>
        <v>9.9166666666666661</v>
      </c>
      <c r="AL66" s="80">
        <f t="shared" si="173"/>
        <v>187</v>
      </c>
      <c r="AM66" s="78">
        <f t="shared" si="173"/>
        <v>9.737942583732058E-2</v>
      </c>
      <c r="AN66" s="80">
        <f t="shared" si="173"/>
        <v>143</v>
      </c>
      <c r="AO66" s="78">
        <f t="shared" si="173"/>
        <v>0.21099999999999999</v>
      </c>
      <c r="AP66" s="88">
        <f t="shared" si="173"/>
        <v>12</v>
      </c>
      <c r="AQ66" s="64">
        <f t="shared" si="47"/>
        <v>21.5</v>
      </c>
      <c r="AR66" s="64">
        <f t="shared" si="48"/>
        <v>11.5</v>
      </c>
      <c r="AS66" s="88">
        <f t="shared" si="50"/>
        <v>1.1830000000000001</v>
      </c>
      <c r="AT66" s="91">
        <f t="shared" si="89"/>
        <v>283</v>
      </c>
      <c r="AU66" s="94"/>
      <c r="AV66" s="95"/>
      <c r="AW66" s="56">
        <f t="shared" ref="AW66:AW129" si="174">AC66-AA66</f>
        <v>0</v>
      </c>
      <c r="AX66" s="351"/>
      <c r="AY66" s="100">
        <f t="shared" si="52"/>
        <v>9.9166666666666661</v>
      </c>
      <c r="AZ66" s="360"/>
      <c r="BA66" s="91">
        <f t="shared" si="161"/>
        <v>-569.86254700000018</v>
      </c>
      <c r="BB66" s="5">
        <f t="shared" si="134"/>
        <v>-9.9166666666666661</v>
      </c>
      <c r="BC66" s="363"/>
      <c r="BD66" s="91" t="e">
        <f t="shared" ref="BD66:BD129" ca="1" si="175">IF(TODAY()&lt;B67,IF(E66&gt;0,AY66+AU66,#N/A),AY66+AU66)</f>
        <v>#N/A</v>
      </c>
      <c r="BE66" s="91" t="e">
        <f t="shared" ref="BE66:BE129" ca="1" si="176">IF(TODAY()&lt;B67,IF(E66&gt;0,BD66+AT66,#N/A),BD66+AT66)</f>
        <v>#N/A</v>
      </c>
      <c r="BF66" s="91">
        <f t="shared" ref="BF66:BF129" si="177">(M66*AJ66+AK66)+(U66*AO66+AP66)+(S66*AJ66+AK66)</f>
        <v>31.833333333333329</v>
      </c>
      <c r="BG66" s="91" t="e">
        <f t="shared" ref="BG66:BG129" ca="1" si="178">BF66-BD66</f>
        <v>#N/A</v>
      </c>
      <c r="BH66" s="91" t="e">
        <f t="shared" ca="1" si="61"/>
        <v>#N/A</v>
      </c>
      <c r="BI66" s="10" t="e">
        <f t="shared" ca="1" si="40"/>
        <v>#N/A</v>
      </c>
      <c r="BJ66" s="104">
        <f>((M66+Q66)*AJ66+AK66)+((U66-W66+W66/('Vergleich Holz Strom'!$B$8-0.6))*AO66+AP66)</f>
        <v>21.916666666666664</v>
      </c>
      <c r="BK66" s="10" t="e">
        <f t="shared" ca="1" si="135"/>
        <v>#N/A</v>
      </c>
      <c r="BL66" s="379"/>
      <c r="BM66" s="104" t="e">
        <f t="shared" ca="1" si="27"/>
        <v>#N/A</v>
      </c>
      <c r="BN66" s="40" t="e">
        <f ca="1">IF(ISNUMBER(BK66),BN65+SUMIF(BK62:BK73,"&lt;&gt;#NV",BK62:BK73)/COUNTIF(BK62:BK73,"&lt;&gt;#NV"),#N/A)</f>
        <v>#N/A</v>
      </c>
      <c r="BO66" s="10" t="e">
        <f t="shared" ca="1" si="157"/>
        <v>#N/A</v>
      </c>
      <c r="BP66" s="104" t="e">
        <f t="shared" ca="1" si="136"/>
        <v>#N/A</v>
      </c>
      <c r="BQ66" s="104">
        <f t="shared" ca="1" si="154"/>
        <v>-61751.102546999929</v>
      </c>
      <c r="BR66" s="10">
        <f t="shared" ref="BR66:BR129" si="179">M66*AJ66+AK66</f>
        <v>9.9166666666666661</v>
      </c>
      <c r="BS66" s="311"/>
      <c r="BT66" s="307"/>
      <c r="BU66" s="295">
        <f t="shared" ref="BU66:BU129" si="180">Q66*AM66</f>
        <v>0</v>
      </c>
      <c r="BV66" s="323"/>
      <c r="BW66" s="299">
        <f t="shared" ref="BW66:BW129" si="181">Q66*AJ66</f>
        <v>0</v>
      </c>
      <c r="BX66" s="295">
        <f t="shared" ref="BX66:BX129" si="182">BW66-BU66</f>
        <v>0</v>
      </c>
      <c r="BY66" s="382"/>
      <c r="BZ66" s="299">
        <f t="shared" si="30"/>
        <v>0</v>
      </c>
      <c r="CA66" s="295">
        <f t="shared" si="42"/>
        <v>0</v>
      </c>
      <c r="CB66" s="323"/>
      <c r="CC66" s="314">
        <f t="shared" si="76"/>
        <v>0</v>
      </c>
      <c r="CD66" s="326"/>
      <c r="CE66" s="299">
        <f t="shared" ref="CE66:CE129" si="183">CC66/AR66*AS66</f>
        <v>0</v>
      </c>
      <c r="CF66" s="284">
        <f t="shared" si="77"/>
        <v>0</v>
      </c>
      <c r="CG66" s="323"/>
      <c r="CH66" s="302">
        <f t="shared" si="58"/>
        <v>0</v>
      </c>
      <c r="CI66" s="108">
        <f t="shared" ref="CI66:CI129" si="184">(S66*AJ66)</f>
        <v>0</v>
      </c>
      <c r="CJ66" s="200">
        <f t="shared" ref="CJ66:CJ129" si="185">((U66-W66)*AJ66)+(W66*AM66)</f>
        <v>0</v>
      </c>
      <c r="CK66" s="197">
        <f t="shared" si="51"/>
        <v>0</v>
      </c>
      <c r="CL66" s="203">
        <f t="shared" ref="CL66:CL129" si="186">U66*AO66+AP66</f>
        <v>12</v>
      </c>
      <c r="CM66" s="4">
        <f>U66*Jahresdaten!$AD$2</f>
        <v>0</v>
      </c>
      <c r="CN66" s="112">
        <f>CJ66*Jahresdaten!$AD$2</f>
        <v>0</v>
      </c>
      <c r="CO66" s="366"/>
      <c r="CP66" s="116">
        <f>U66*Jahresdaten!$AD$3</f>
        <v>0</v>
      </c>
      <c r="CQ66" s="12">
        <f>CJ66*Jahresdaten!$AD$3</f>
        <v>0</v>
      </c>
      <c r="CR66" s="353"/>
      <c r="CS66" s="14"/>
      <c r="CT66" s="136"/>
      <c r="CU66" s="140" t="str">
        <f>IF(CT66=0,"",CT66*'Vergleich Holz Strom'!$B$2)</f>
        <v/>
      </c>
      <c r="CV66" s="353"/>
      <c r="CW66" s="366"/>
      <c r="CX66" s="345"/>
      <c r="CY66" s="345"/>
      <c r="CZ66" s="345"/>
      <c r="DA66" s="348"/>
      <c r="DB66" s="94"/>
      <c r="DC66" s="88">
        <f t="shared" si="53"/>
        <v>9402.9279999999981</v>
      </c>
      <c r="DD66" s="94"/>
      <c r="DE66" s="88">
        <f t="shared" si="56"/>
        <v>-6688.1125469999997</v>
      </c>
      <c r="DF66" s="100" t="e">
        <f ca="1">BE66+(SUM(CS62:CS73)/12)</f>
        <v>#N/A</v>
      </c>
      <c r="DG66" s="351"/>
      <c r="DH66" s="8">
        <f t="shared" si="162"/>
        <v>0</v>
      </c>
      <c r="DI66" s="123">
        <f t="shared" si="137"/>
        <v>9600</v>
      </c>
      <c r="DJ66" s="2">
        <f t="shared" si="163"/>
        <v>0</v>
      </c>
      <c r="DK66" s="127">
        <f>DK73/12*5</f>
        <v>3250</v>
      </c>
      <c r="DL66" s="2">
        <f t="shared" si="114"/>
        <v>650</v>
      </c>
      <c r="DM66" s="130">
        <f t="shared" si="164"/>
        <v>0</v>
      </c>
      <c r="DN66" s="3">
        <f>DN73/12*5</f>
        <v>1250</v>
      </c>
      <c r="DO66" s="130">
        <f t="shared" si="116"/>
        <v>250</v>
      </c>
      <c r="DP66" s="4">
        <f t="shared" si="165"/>
        <v>0</v>
      </c>
      <c r="DQ66" s="116">
        <f t="shared" si="166"/>
        <v>5100</v>
      </c>
      <c r="DR66" s="116">
        <f t="shared" si="169"/>
        <v>1350</v>
      </c>
    </row>
    <row r="67" spans="1:122" ht="14.25" customHeight="1" thickBot="1" x14ac:dyDescent="0.2">
      <c r="A67" s="416"/>
      <c r="B67" s="16">
        <v>45352</v>
      </c>
      <c r="C67" s="207">
        <f>'PV-Felder'!$I$4</f>
        <v>1860</v>
      </c>
      <c r="D67" s="351"/>
      <c r="E67" s="61">
        <v>0</v>
      </c>
      <c r="F67" s="351"/>
      <c r="G67" s="56" t="e">
        <f t="shared" ca="1" si="171"/>
        <v>#N/A</v>
      </c>
      <c r="H67" s="351"/>
      <c r="I67" s="61">
        <v>0</v>
      </c>
      <c r="J67" s="351"/>
      <c r="K67" s="61">
        <v>0</v>
      </c>
      <c r="L67" s="351"/>
      <c r="M67" s="65">
        <f t="shared" si="1"/>
        <v>0</v>
      </c>
      <c r="N67" s="373"/>
      <c r="O67" s="288"/>
      <c r="P67" s="288"/>
      <c r="Q67" s="286">
        <f t="shared" si="172"/>
        <v>0</v>
      </c>
      <c r="R67" s="334"/>
      <c r="S67" s="61">
        <v>0</v>
      </c>
      <c r="T67" s="376"/>
      <c r="U67" s="61">
        <v>0</v>
      </c>
      <c r="V67" s="342"/>
      <c r="W67" s="61">
        <v>0</v>
      </c>
      <c r="X67" s="342"/>
      <c r="Y67" s="211" t="e">
        <f t="shared" si="106"/>
        <v>#N/A</v>
      </c>
      <c r="Z67" s="370"/>
      <c r="AA67" s="61">
        <v>0</v>
      </c>
      <c r="AB67" s="351"/>
      <c r="AC67" s="61">
        <v>0</v>
      </c>
      <c r="AD67" s="351"/>
      <c r="AE67" s="73" t="e">
        <f t="shared" si="131"/>
        <v>#N/A</v>
      </c>
      <c r="AF67" s="356"/>
      <c r="AG67" s="73" t="e">
        <f t="shared" si="132"/>
        <v>#N/A</v>
      </c>
      <c r="AH67" s="356"/>
      <c r="AI67" s="221">
        <f t="shared" si="167"/>
        <v>29.26</v>
      </c>
      <c r="AJ67" s="78">
        <f t="shared" ref="AJ67:AP67" si="187">AJ66</f>
        <v>0.26750000000000002</v>
      </c>
      <c r="AK67" s="79">
        <f t="shared" si="187"/>
        <v>9.9166666666666661</v>
      </c>
      <c r="AL67" s="80">
        <f t="shared" si="187"/>
        <v>187</v>
      </c>
      <c r="AM67" s="78">
        <f t="shared" si="187"/>
        <v>9.737942583732058E-2</v>
      </c>
      <c r="AN67" s="80">
        <f t="shared" si="187"/>
        <v>143</v>
      </c>
      <c r="AO67" s="78">
        <f t="shared" si="187"/>
        <v>0.21099999999999999</v>
      </c>
      <c r="AP67" s="88">
        <f t="shared" si="187"/>
        <v>12</v>
      </c>
      <c r="AQ67" s="64">
        <f t="shared" si="47"/>
        <v>21.5</v>
      </c>
      <c r="AR67" s="64">
        <f t="shared" si="48"/>
        <v>11.5</v>
      </c>
      <c r="AS67" s="88">
        <f t="shared" si="50"/>
        <v>1.1830000000000001</v>
      </c>
      <c r="AT67" s="91">
        <f t="shared" si="89"/>
        <v>283</v>
      </c>
      <c r="AU67" s="94"/>
      <c r="AV67" s="95"/>
      <c r="AW67" s="56">
        <f t="shared" si="174"/>
        <v>0</v>
      </c>
      <c r="AX67" s="351"/>
      <c r="AY67" s="100">
        <f t="shared" si="52"/>
        <v>9.9166666666666661</v>
      </c>
      <c r="AZ67" s="360"/>
      <c r="BA67" s="91">
        <f t="shared" si="161"/>
        <v>-579.77921366666681</v>
      </c>
      <c r="BB67" s="5">
        <f t="shared" si="134"/>
        <v>-9.9166666666666661</v>
      </c>
      <c r="BC67" s="363"/>
      <c r="BD67" s="91" t="e">
        <f t="shared" ca="1" si="175"/>
        <v>#N/A</v>
      </c>
      <c r="BE67" s="91" t="e">
        <f t="shared" ca="1" si="176"/>
        <v>#N/A</v>
      </c>
      <c r="BF67" s="91">
        <f t="shared" si="177"/>
        <v>31.833333333333329</v>
      </c>
      <c r="BG67" s="91" t="e">
        <f t="shared" ca="1" si="178"/>
        <v>#N/A</v>
      </c>
      <c r="BH67" s="91" t="e">
        <f t="shared" ca="1" si="61"/>
        <v>#N/A</v>
      </c>
      <c r="BI67" s="10" t="e">
        <f t="shared" ca="1" si="40"/>
        <v>#N/A</v>
      </c>
      <c r="BJ67" s="104">
        <f>((M67+Q67)*AJ67+AK67)+((U67-W67+W67/('Vergleich Holz Strom'!$B$8-0.6))*AO67+AP67)</f>
        <v>21.916666666666664</v>
      </c>
      <c r="BK67" s="10" t="e">
        <f t="shared" ca="1" si="135"/>
        <v>#N/A</v>
      </c>
      <c r="BL67" s="379"/>
      <c r="BM67" s="104" t="e">
        <f t="shared" ref="BM67:BM130" ca="1" si="188">BM66+BK67</f>
        <v>#N/A</v>
      </c>
      <c r="BN67" s="40" t="e">
        <f ca="1">IF(ISNUMBER(BK67),BN66+SUMIF(BK62:BK73,"&lt;&gt;#NV",BK62:BK73)/COUNTIF(BK62:BK73,"&lt;&gt;#NV"),#N/A)</f>
        <v>#N/A</v>
      </c>
      <c r="BO67" s="10" t="e">
        <f t="shared" ca="1" si="157"/>
        <v>#N/A</v>
      </c>
      <c r="BP67" s="104" t="e">
        <f t="shared" ca="1" si="136"/>
        <v>#N/A</v>
      </c>
      <c r="BQ67" s="104">
        <f t="shared" ca="1" si="154"/>
        <v>-61731.902546999932</v>
      </c>
      <c r="BR67" s="10">
        <f t="shared" si="179"/>
        <v>9.9166666666666661</v>
      </c>
      <c r="BS67" s="311"/>
      <c r="BT67" s="307"/>
      <c r="BU67" s="295">
        <f t="shared" si="180"/>
        <v>0</v>
      </c>
      <c r="BV67" s="323"/>
      <c r="BW67" s="299">
        <f t="shared" si="181"/>
        <v>0</v>
      </c>
      <c r="BX67" s="295">
        <f t="shared" si="182"/>
        <v>0</v>
      </c>
      <c r="BY67" s="382"/>
      <c r="BZ67" s="299">
        <f t="shared" ref="BZ67:BZ130" si="189">BZ66+BX67</f>
        <v>0</v>
      </c>
      <c r="CA67" s="295">
        <f t="shared" si="42"/>
        <v>0</v>
      </c>
      <c r="CB67" s="323"/>
      <c r="CC67" s="314">
        <f t="shared" si="76"/>
        <v>0</v>
      </c>
      <c r="CD67" s="326"/>
      <c r="CE67" s="299">
        <f t="shared" si="183"/>
        <v>0</v>
      </c>
      <c r="CF67" s="284">
        <f t="shared" si="77"/>
        <v>0</v>
      </c>
      <c r="CG67" s="323"/>
      <c r="CH67" s="302">
        <f t="shared" si="58"/>
        <v>0</v>
      </c>
      <c r="CI67" s="108">
        <f t="shared" si="184"/>
        <v>0</v>
      </c>
      <c r="CJ67" s="200">
        <f t="shared" si="185"/>
        <v>0</v>
      </c>
      <c r="CK67" s="197">
        <f t="shared" si="51"/>
        <v>0</v>
      </c>
      <c r="CL67" s="203">
        <f t="shared" si="186"/>
        <v>12</v>
      </c>
      <c r="CM67" s="4">
        <f>U67*Jahresdaten!$AD$2</f>
        <v>0</v>
      </c>
      <c r="CN67" s="112">
        <f>CJ67*Jahresdaten!$AD$2</f>
        <v>0</v>
      </c>
      <c r="CO67" s="366"/>
      <c r="CP67" s="116">
        <f>U67*Jahresdaten!$AD$3</f>
        <v>0</v>
      </c>
      <c r="CQ67" s="12">
        <f>CJ67*Jahresdaten!$AD$3</f>
        <v>0</v>
      </c>
      <c r="CR67" s="353"/>
      <c r="CS67" s="14"/>
      <c r="CT67" s="136"/>
      <c r="CU67" s="140" t="str">
        <f>IF(CT67=0,"",CT67*'Vergleich Holz Strom'!$B$2)</f>
        <v/>
      </c>
      <c r="CV67" s="353"/>
      <c r="CW67" s="366"/>
      <c r="CX67" s="345"/>
      <c r="CY67" s="345"/>
      <c r="CZ67" s="345"/>
      <c r="DA67" s="348"/>
      <c r="DB67" s="94"/>
      <c r="DC67" s="88">
        <f t="shared" si="53"/>
        <v>9580.011333333332</v>
      </c>
      <c r="DD67" s="94"/>
      <c r="DE67" s="88">
        <f t="shared" si="56"/>
        <v>-6831.1125469999997</v>
      </c>
      <c r="DF67" s="100" t="e">
        <f ca="1">BE67+(SUM(CS62:CS73)/12)</f>
        <v>#N/A</v>
      </c>
      <c r="DG67" s="351"/>
      <c r="DH67" s="8">
        <f t="shared" si="162"/>
        <v>0</v>
      </c>
      <c r="DI67" s="123">
        <f t="shared" si="137"/>
        <v>11850</v>
      </c>
      <c r="DJ67" s="2">
        <f t="shared" si="163"/>
        <v>0</v>
      </c>
      <c r="DK67" s="127">
        <f>DK73/12*6</f>
        <v>3900</v>
      </c>
      <c r="DL67" s="2">
        <f t="shared" si="114"/>
        <v>650</v>
      </c>
      <c r="DM67" s="130">
        <f t="shared" si="164"/>
        <v>0</v>
      </c>
      <c r="DN67" s="3">
        <f>DN73/12*6</f>
        <v>1500</v>
      </c>
      <c r="DO67" s="130">
        <f t="shared" si="116"/>
        <v>250</v>
      </c>
      <c r="DP67" s="4">
        <f t="shared" si="165"/>
        <v>0</v>
      </c>
      <c r="DQ67" s="116">
        <f t="shared" si="166"/>
        <v>6450</v>
      </c>
      <c r="DR67" s="116">
        <f t="shared" si="169"/>
        <v>1350</v>
      </c>
    </row>
    <row r="68" spans="1:122" ht="15" customHeight="1" thickBot="1" x14ac:dyDescent="0.2">
      <c r="A68" s="416"/>
      <c r="B68" s="16">
        <v>45383</v>
      </c>
      <c r="C68" s="207">
        <f>'PV-Felder'!$I$5</f>
        <v>2887.3</v>
      </c>
      <c r="D68" s="351"/>
      <c r="E68" s="61">
        <v>0</v>
      </c>
      <c r="F68" s="351"/>
      <c r="G68" s="56" t="e">
        <f t="shared" ca="1" si="171"/>
        <v>#N/A</v>
      </c>
      <c r="H68" s="351"/>
      <c r="I68" s="61">
        <v>0</v>
      </c>
      <c r="J68" s="351"/>
      <c r="K68" s="61">
        <v>0</v>
      </c>
      <c r="L68" s="351"/>
      <c r="M68" s="65">
        <f t="shared" ref="M68:M131" si="190">(E68+AA68)-((O68-P68)+S68+U68+AC68)</f>
        <v>0</v>
      </c>
      <c r="N68" s="373"/>
      <c r="O68" s="288"/>
      <c r="P68" s="288"/>
      <c r="Q68" s="286">
        <f t="shared" si="172"/>
        <v>0</v>
      </c>
      <c r="R68" s="334"/>
      <c r="S68" s="61">
        <v>0</v>
      </c>
      <c r="T68" s="376"/>
      <c r="U68" s="61">
        <v>0</v>
      </c>
      <c r="V68" s="342"/>
      <c r="W68" s="61">
        <v>0</v>
      </c>
      <c r="X68" s="342"/>
      <c r="Y68" s="211" t="e">
        <f t="shared" si="106"/>
        <v>#N/A</v>
      </c>
      <c r="Z68" s="370"/>
      <c r="AA68" s="61">
        <v>0</v>
      </c>
      <c r="AB68" s="351"/>
      <c r="AC68" s="61">
        <v>0</v>
      </c>
      <c r="AD68" s="351"/>
      <c r="AE68" s="73" t="e">
        <f t="shared" si="131"/>
        <v>#N/A</v>
      </c>
      <c r="AF68" s="356"/>
      <c r="AG68" s="73" t="e">
        <f t="shared" si="132"/>
        <v>#N/A</v>
      </c>
      <c r="AH68" s="356"/>
      <c r="AI68" s="221">
        <f t="shared" si="167"/>
        <v>29.26</v>
      </c>
      <c r="AJ68" s="78">
        <f t="shared" ref="AJ68:AP68" si="191">AJ67</f>
        <v>0.26750000000000002</v>
      </c>
      <c r="AK68" s="79">
        <f t="shared" si="191"/>
        <v>9.9166666666666661</v>
      </c>
      <c r="AL68" s="80">
        <f t="shared" si="191"/>
        <v>187</v>
      </c>
      <c r="AM68" s="78">
        <f t="shared" si="191"/>
        <v>9.737942583732058E-2</v>
      </c>
      <c r="AN68" s="80">
        <f t="shared" si="191"/>
        <v>143</v>
      </c>
      <c r="AO68" s="78">
        <f t="shared" si="191"/>
        <v>0.21099999999999999</v>
      </c>
      <c r="AP68" s="88">
        <f t="shared" si="191"/>
        <v>12</v>
      </c>
      <c r="AQ68" s="64">
        <f t="shared" si="47"/>
        <v>21.5</v>
      </c>
      <c r="AR68" s="64">
        <f t="shared" si="48"/>
        <v>11.5</v>
      </c>
      <c r="AS68" s="88">
        <f t="shared" si="50"/>
        <v>1.1830000000000001</v>
      </c>
      <c r="AT68" s="91">
        <f t="shared" si="89"/>
        <v>283</v>
      </c>
      <c r="AU68" s="94"/>
      <c r="AV68" s="95"/>
      <c r="AW68" s="56">
        <f t="shared" si="174"/>
        <v>0</v>
      </c>
      <c r="AX68" s="351"/>
      <c r="AY68" s="100">
        <f t="shared" si="52"/>
        <v>9.9166666666666661</v>
      </c>
      <c r="AZ68" s="360"/>
      <c r="BA68" s="91">
        <f t="shared" si="161"/>
        <v>-589.69588033333343</v>
      </c>
      <c r="BB68" s="5">
        <f t="shared" si="134"/>
        <v>-9.9166666666666661</v>
      </c>
      <c r="BC68" s="363"/>
      <c r="BD68" s="91" t="e">
        <f t="shared" ca="1" si="175"/>
        <v>#N/A</v>
      </c>
      <c r="BE68" s="91" t="e">
        <f t="shared" ca="1" si="176"/>
        <v>#N/A</v>
      </c>
      <c r="BF68" s="91">
        <f t="shared" si="177"/>
        <v>31.833333333333329</v>
      </c>
      <c r="BG68" s="91" t="e">
        <f t="shared" ca="1" si="178"/>
        <v>#N/A</v>
      </c>
      <c r="BH68" s="91" t="e">
        <f t="shared" ca="1" si="61"/>
        <v>#N/A</v>
      </c>
      <c r="BI68" s="10" t="e">
        <f t="shared" ref="BI68:BI131" ca="1" si="192">BE68-(S68*AJ68)</f>
        <v>#N/A</v>
      </c>
      <c r="BJ68" s="104">
        <f>((M68+Q68)*AJ68+AK68)+((U68-W68+W68/('Vergleich Holz Strom'!$B$8-0.6))*AO68+AP68)</f>
        <v>21.916666666666664</v>
      </c>
      <c r="BK68" s="10" t="e">
        <f t="shared" ca="1" si="135"/>
        <v>#N/A</v>
      </c>
      <c r="BL68" s="379"/>
      <c r="BM68" s="104" t="e">
        <f t="shared" ca="1" si="188"/>
        <v>#N/A</v>
      </c>
      <c r="BN68" s="40" t="e">
        <f ca="1">IF(ISNUMBER(BK68),BN67+SUMIF(BK62:BK73,"&lt;&gt;#NV",BK62:BK73)/COUNTIF(BK62:BK73,"&lt;&gt;#NV"),#N/A)</f>
        <v>#N/A</v>
      </c>
      <c r="BO68" s="10" t="e">
        <f t="shared" ca="1" si="157"/>
        <v>#N/A</v>
      </c>
      <c r="BP68" s="104" t="e">
        <f t="shared" ca="1" si="136"/>
        <v>#N/A</v>
      </c>
      <c r="BQ68" s="104">
        <f t="shared" ca="1" si="154"/>
        <v>-61712.702546999906</v>
      </c>
      <c r="BR68" s="10">
        <f t="shared" si="179"/>
        <v>9.9166666666666661</v>
      </c>
      <c r="BS68" s="311"/>
      <c r="BT68" s="307"/>
      <c r="BU68" s="295">
        <f t="shared" si="180"/>
        <v>0</v>
      </c>
      <c r="BV68" s="323"/>
      <c r="BW68" s="299">
        <f t="shared" si="181"/>
        <v>0</v>
      </c>
      <c r="BX68" s="295">
        <f t="shared" si="182"/>
        <v>0</v>
      </c>
      <c r="BY68" s="382"/>
      <c r="BZ68" s="299">
        <f t="shared" si="189"/>
        <v>0</v>
      </c>
      <c r="CA68" s="295">
        <f t="shared" ref="CA68:CA131" si="193">BT68+BU68</f>
        <v>0</v>
      </c>
      <c r="CB68" s="323"/>
      <c r="CC68" s="314">
        <f t="shared" si="76"/>
        <v>0</v>
      </c>
      <c r="CD68" s="326"/>
      <c r="CE68" s="299">
        <f t="shared" si="183"/>
        <v>0</v>
      </c>
      <c r="CF68" s="284">
        <f t="shared" si="77"/>
        <v>0</v>
      </c>
      <c r="CG68" s="323"/>
      <c r="CH68" s="302">
        <f t="shared" si="58"/>
        <v>0</v>
      </c>
      <c r="CI68" s="108">
        <f t="shared" si="184"/>
        <v>0</v>
      </c>
      <c r="CJ68" s="200">
        <f t="shared" si="185"/>
        <v>0</v>
      </c>
      <c r="CK68" s="197">
        <f t="shared" si="51"/>
        <v>0</v>
      </c>
      <c r="CL68" s="203">
        <f t="shared" si="186"/>
        <v>12</v>
      </c>
      <c r="CM68" s="4">
        <f>U68*Jahresdaten!$AD$2</f>
        <v>0</v>
      </c>
      <c r="CN68" s="112">
        <f>CJ68*Jahresdaten!$AD$2</f>
        <v>0</v>
      </c>
      <c r="CO68" s="366"/>
      <c r="CP68" s="116">
        <f>U68*Jahresdaten!$AD$3</f>
        <v>0</v>
      </c>
      <c r="CQ68" s="12">
        <f>CJ68*Jahresdaten!$AD$3</f>
        <v>0</v>
      </c>
      <c r="CR68" s="353"/>
      <c r="CS68" s="14"/>
      <c r="CT68" s="136"/>
      <c r="CU68" s="140" t="str">
        <f>IF(CT68=0,"",CT68*'Vergleich Holz Strom'!$B$2)</f>
        <v/>
      </c>
      <c r="CV68" s="121" t="s">
        <v>6</v>
      </c>
      <c r="CW68" s="366"/>
      <c r="CX68" s="345"/>
      <c r="CY68" s="345"/>
      <c r="CZ68" s="345"/>
      <c r="DA68" s="348"/>
      <c r="DB68" s="94"/>
      <c r="DC68" s="88">
        <f t="shared" si="53"/>
        <v>9757.0946666666659</v>
      </c>
      <c r="DD68" s="94"/>
      <c r="DE68" s="88">
        <f t="shared" si="56"/>
        <v>-6974.1125469999997</v>
      </c>
      <c r="DF68" s="100" t="e">
        <f ca="1">BE68+(SUM(CS62:CS73)/12)</f>
        <v>#N/A</v>
      </c>
      <c r="DG68" s="351"/>
      <c r="DH68" s="8">
        <f t="shared" si="162"/>
        <v>0</v>
      </c>
      <c r="DI68" s="123">
        <f t="shared" si="137"/>
        <v>14000</v>
      </c>
      <c r="DJ68" s="2">
        <f t="shared" si="163"/>
        <v>0</v>
      </c>
      <c r="DK68" s="127">
        <f>DK73/12*7</f>
        <v>4550</v>
      </c>
      <c r="DL68" s="2">
        <f t="shared" si="114"/>
        <v>650</v>
      </c>
      <c r="DM68" s="130">
        <f t="shared" si="164"/>
        <v>0</v>
      </c>
      <c r="DN68" s="3">
        <f>DN73/12*7</f>
        <v>1750</v>
      </c>
      <c r="DO68" s="130">
        <f t="shared" si="116"/>
        <v>250</v>
      </c>
      <c r="DP68" s="4">
        <f t="shared" si="165"/>
        <v>0</v>
      </c>
      <c r="DQ68" s="116">
        <f t="shared" si="166"/>
        <v>7700</v>
      </c>
      <c r="DR68" s="116">
        <f t="shared" si="169"/>
        <v>1250</v>
      </c>
    </row>
    <row r="69" spans="1:122" ht="14.25" customHeight="1" thickBot="1" x14ac:dyDescent="0.2">
      <c r="A69" s="416"/>
      <c r="B69" s="16">
        <v>45413</v>
      </c>
      <c r="C69" s="207">
        <f>'PV-Felder'!$I$6</f>
        <v>3391.3999999999996</v>
      </c>
      <c r="D69" s="351"/>
      <c r="E69" s="61">
        <v>0</v>
      </c>
      <c r="F69" s="351"/>
      <c r="G69" s="56" t="e">
        <f t="shared" ca="1" si="171"/>
        <v>#N/A</v>
      </c>
      <c r="H69" s="351"/>
      <c r="I69" s="61">
        <v>0</v>
      </c>
      <c r="J69" s="351"/>
      <c r="K69" s="61">
        <v>0</v>
      </c>
      <c r="L69" s="351"/>
      <c r="M69" s="65">
        <f t="shared" si="190"/>
        <v>0</v>
      </c>
      <c r="N69" s="373"/>
      <c r="O69" s="288"/>
      <c r="P69" s="288"/>
      <c r="Q69" s="286">
        <f t="shared" si="172"/>
        <v>0</v>
      </c>
      <c r="R69" s="334"/>
      <c r="S69" s="61">
        <v>0</v>
      </c>
      <c r="T69" s="376"/>
      <c r="U69" s="61">
        <v>0</v>
      </c>
      <c r="V69" s="342"/>
      <c r="W69" s="61">
        <v>0</v>
      </c>
      <c r="X69" s="342"/>
      <c r="Y69" s="211" t="e">
        <f t="shared" si="106"/>
        <v>#N/A</v>
      </c>
      <c r="Z69" s="370"/>
      <c r="AA69" s="61">
        <v>0</v>
      </c>
      <c r="AB69" s="351"/>
      <c r="AC69" s="61">
        <v>0</v>
      </c>
      <c r="AD69" s="351"/>
      <c r="AE69" s="73" t="e">
        <f t="shared" si="131"/>
        <v>#N/A</v>
      </c>
      <c r="AF69" s="356"/>
      <c r="AG69" s="73" t="e">
        <f t="shared" si="132"/>
        <v>#N/A</v>
      </c>
      <c r="AH69" s="356"/>
      <c r="AI69" s="221">
        <f t="shared" si="167"/>
        <v>29.26</v>
      </c>
      <c r="AJ69" s="78">
        <f t="shared" ref="AJ69:AP69" si="194">AJ68</f>
        <v>0.26750000000000002</v>
      </c>
      <c r="AK69" s="79">
        <f t="shared" si="194"/>
        <v>9.9166666666666661</v>
      </c>
      <c r="AL69" s="80">
        <f t="shared" si="194"/>
        <v>187</v>
      </c>
      <c r="AM69" s="78">
        <f t="shared" si="194"/>
        <v>9.737942583732058E-2</v>
      </c>
      <c r="AN69" s="80">
        <f t="shared" si="194"/>
        <v>143</v>
      </c>
      <c r="AO69" s="78">
        <f t="shared" si="194"/>
        <v>0.21099999999999999</v>
      </c>
      <c r="AP69" s="88">
        <f t="shared" si="194"/>
        <v>12</v>
      </c>
      <c r="AQ69" s="64">
        <f t="shared" ref="AQ69:AQ132" si="195">AQ68</f>
        <v>21.5</v>
      </c>
      <c r="AR69" s="64">
        <f t="shared" ref="AR69:AR132" si="196">AR68</f>
        <v>11.5</v>
      </c>
      <c r="AS69" s="88">
        <f t="shared" ref="AS69:AS132" si="197">AS68</f>
        <v>1.1830000000000001</v>
      </c>
      <c r="AT69" s="91">
        <f t="shared" si="89"/>
        <v>283</v>
      </c>
      <c r="AU69" s="94"/>
      <c r="AV69" s="95"/>
      <c r="AW69" s="56">
        <f t="shared" si="174"/>
        <v>0</v>
      </c>
      <c r="AX69" s="351"/>
      <c r="AY69" s="100">
        <f t="shared" si="52"/>
        <v>9.9166666666666661</v>
      </c>
      <c r="AZ69" s="360"/>
      <c r="BA69" s="91">
        <f t="shared" si="161"/>
        <v>-599.61254700000006</v>
      </c>
      <c r="BB69" s="5">
        <f t="shared" si="134"/>
        <v>-9.9166666666666661</v>
      </c>
      <c r="BC69" s="363"/>
      <c r="BD69" s="91" t="e">
        <f t="shared" ca="1" si="175"/>
        <v>#N/A</v>
      </c>
      <c r="BE69" s="91" t="e">
        <f t="shared" ca="1" si="176"/>
        <v>#N/A</v>
      </c>
      <c r="BF69" s="91">
        <f t="shared" si="177"/>
        <v>31.833333333333329</v>
      </c>
      <c r="BG69" s="91" t="e">
        <f t="shared" ca="1" si="178"/>
        <v>#N/A</v>
      </c>
      <c r="BH69" s="91" t="e">
        <f t="shared" ca="1" si="61"/>
        <v>#N/A</v>
      </c>
      <c r="BI69" s="10" t="e">
        <f t="shared" ca="1" si="192"/>
        <v>#N/A</v>
      </c>
      <c r="BJ69" s="104">
        <f>((M69+Q69)*AJ69+AK69)+((U69-W69+W69/('Vergleich Holz Strom'!$B$8-0.6))*AO69+AP69)</f>
        <v>21.916666666666664</v>
      </c>
      <c r="BK69" s="10" t="e">
        <f t="shared" ca="1" si="135"/>
        <v>#N/A</v>
      </c>
      <c r="BL69" s="379"/>
      <c r="BM69" s="104" t="e">
        <f t="shared" ca="1" si="188"/>
        <v>#N/A</v>
      </c>
      <c r="BN69" s="40" t="e">
        <f ca="1">IF(ISNUMBER(BK69),BN68+SUMIF(BK62:BK73,"&lt;&gt;#NV",BK62:BK73)/COUNTIF(BK62:BK73,"&lt;&gt;#NV"),#N/A)</f>
        <v>#N/A</v>
      </c>
      <c r="BO69" s="10" t="e">
        <f t="shared" ca="1" si="157"/>
        <v>#N/A</v>
      </c>
      <c r="BP69" s="104" t="e">
        <f t="shared" ca="1" si="136"/>
        <v>#N/A</v>
      </c>
      <c r="BQ69" s="104">
        <f t="shared" ca="1" si="154"/>
        <v>-61693.502546999895</v>
      </c>
      <c r="BR69" s="10">
        <f t="shared" si="179"/>
        <v>9.9166666666666661</v>
      </c>
      <c r="BS69" s="311"/>
      <c r="BT69" s="307"/>
      <c r="BU69" s="295">
        <f t="shared" si="180"/>
        <v>0</v>
      </c>
      <c r="BV69" s="323"/>
      <c r="BW69" s="299">
        <f t="shared" si="181"/>
        <v>0</v>
      </c>
      <c r="BX69" s="295">
        <f t="shared" si="182"/>
        <v>0</v>
      </c>
      <c r="BY69" s="382"/>
      <c r="BZ69" s="299">
        <f t="shared" si="189"/>
        <v>0</v>
      </c>
      <c r="CA69" s="295">
        <f t="shared" si="193"/>
        <v>0</v>
      </c>
      <c r="CB69" s="323"/>
      <c r="CC69" s="314">
        <f t="shared" si="76"/>
        <v>0</v>
      </c>
      <c r="CD69" s="326"/>
      <c r="CE69" s="299">
        <f t="shared" si="183"/>
        <v>0</v>
      </c>
      <c r="CF69" s="284">
        <f t="shared" si="77"/>
        <v>0</v>
      </c>
      <c r="CG69" s="323"/>
      <c r="CH69" s="302">
        <f t="shared" si="58"/>
        <v>0</v>
      </c>
      <c r="CI69" s="108">
        <f t="shared" si="184"/>
        <v>0</v>
      </c>
      <c r="CJ69" s="200">
        <f t="shared" si="185"/>
        <v>0</v>
      </c>
      <c r="CK69" s="197">
        <f t="shared" si="51"/>
        <v>0</v>
      </c>
      <c r="CL69" s="203">
        <f t="shared" si="186"/>
        <v>12</v>
      </c>
      <c r="CM69" s="4">
        <f>U69*Jahresdaten!$AD$2</f>
        <v>0</v>
      </c>
      <c r="CN69" s="112">
        <f>CJ69*Jahresdaten!$AD$2</f>
        <v>0</v>
      </c>
      <c r="CO69" s="366"/>
      <c r="CP69" s="116">
        <f>U69*Jahresdaten!$AD$3</f>
        <v>0</v>
      </c>
      <c r="CQ69" s="12">
        <f>CJ69*Jahresdaten!$AD$3</f>
        <v>0</v>
      </c>
      <c r="CR69" s="353"/>
      <c r="CS69" s="14"/>
      <c r="CT69" s="136"/>
      <c r="CU69" s="140" t="str">
        <f>IF(CT69=0,"",CT69*'Vergleich Holz Strom'!$B$2)</f>
        <v/>
      </c>
      <c r="CV69" s="353">
        <f>SUM(CS62:CS73)</f>
        <v>1169</v>
      </c>
      <c r="CW69" s="366"/>
      <c r="CX69" s="345"/>
      <c r="CY69" s="345"/>
      <c r="CZ69" s="345"/>
      <c r="DA69" s="348"/>
      <c r="DB69" s="94"/>
      <c r="DC69" s="88">
        <f t="shared" si="53"/>
        <v>9934.1779999999999</v>
      </c>
      <c r="DD69" s="94"/>
      <c r="DE69" s="88">
        <f t="shared" si="56"/>
        <v>-7117.1125469999997</v>
      </c>
      <c r="DF69" s="100" t="e">
        <f ca="1">BE69+(SUM(CS62:CS73)/12)</f>
        <v>#N/A</v>
      </c>
      <c r="DG69" s="351"/>
      <c r="DH69" s="8">
        <f t="shared" si="162"/>
        <v>0</v>
      </c>
      <c r="DI69" s="123">
        <f t="shared" si="137"/>
        <v>16000</v>
      </c>
      <c r="DJ69" s="2">
        <f t="shared" si="163"/>
        <v>0</v>
      </c>
      <c r="DK69" s="127">
        <f>DK73/12*8</f>
        <v>5200</v>
      </c>
      <c r="DL69" s="2">
        <f t="shared" si="114"/>
        <v>650</v>
      </c>
      <c r="DM69" s="130">
        <f t="shared" si="164"/>
        <v>0</v>
      </c>
      <c r="DN69" s="3">
        <f>DN73/12*8</f>
        <v>2000</v>
      </c>
      <c r="DO69" s="130">
        <f t="shared" si="116"/>
        <v>250</v>
      </c>
      <c r="DP69" s="4">
        <f t="shared" si="165"/>
        <v>0</v>
      </c>
      <c r="DQ69" s="116">
        <f t="shared" si="166"/>
        <v>8800</v>
      </c>
      <c r="DR69" s="116">
        <f t="shared" si="169"/>
        <v>1100</v>
      </c>
    </row>
    <row r="70" spans="1:122" ht="14.25" customHeight="1" thickBot="1" x14ac:dyDescent="0.2">
      <c r="A70" s="416"/>
      <c r="B70" s="16">
        <v>45444</v>
      </c>
      <c r="C70" s="207">
        <f>'PV-Felder'!$I$7</f>
        <v>3595.6000000000004</v>
      </c>
      <c r="D70" s="351"/>
      <c r="E70" s="61">
        <v>0</v>
      </c>
      <c r="F70" s="351"/>
      <c r="G70" s="56" t="e">
        <f t="shared" ca="1" si="171"/>
        <v>#N/A</v>
      </c>
      <c r="H70" s="351"/>
      <c r="I70" s="61">
        <v>0</v>
      </c>
      <c r="J70" s="351"/>
      <c r="K70" s="61">
        <v>0</v>
      </c>
      <c r="L70" s="351"/>
      <c r="M70" s="65">
        <f t="shared" si="190"/>
        <v>0</v>
      </c>
      <c r="N70" s="373"/>
      <c r="O70" s="288"/>
      <c r="P70" s="288"/>
      <c r="Q70" s="286">
        <f t="shared" si="172"/>
        <v>0</v>
      </c>
      <c r="R70" s="334"/>
      <c r="S70" s="61">
        <v>0</v>
      </c>
      <c r="T70" s="376"/>
      <c r="U70" s="61">
        <v>0</v>
      </c>
      <c r="V70" s="342"/>
      <c r="W70" s="61">
        <v>0</v>
      </c>
      <c r="X70" s="342"/>
      <c r="Y70" s="211" t="e">
        <f t="shared" si="106"/>
        <v>#N/A</v>
      </c>
      <c r="Z70" s="370"/>
      <c r="AA70" s="61">
        <v>0</v>
      </c>
      <c r="AB70" s="351"/>
      <c r="AC70" s="61">
        <v>0</v>
      </c>
      <c r="AD70" s="351"/>
      <c r="AE70" s="73" t="e">
        <f t="shared" si="131"/>
        <v>#N/A</v>
      </c>
      <c r="AF70" s="356"/>
      <c r="AG70" s="73" t="e">
        <f t="shared" si="132"/>
        <v>#N/A</v>
      </c>
      <c r="AH70" s="356"/>
      <c r="AI70" s="221">
        <f t="shared" si="167"/>
        <v>29.26</v>
      </c>
      <c r="AJ70" s="78">
        <f t="shared" ref="AJ70:AP70" si="198">AJ69</f>
        <v>0.26750000000000002</v>
      </c>
      <c r="AK70" s="79">
        <f t="shared" si="198"/>
        <v>9.9166666666666661</v>
      </c>
      <c r="AL70" s="80">
        <f t="shared" si="198"/>
        <v>187</v>
      </c>
      <c r="AM70" s="78">
        <f t="shared" si="198"/>
        <v>9.737942583732058E-2</v>
      </c>
      <c r="AN70" s="80">
        <f t="shared" si="198"/>
        <v>143</v>
      </c>
      <c r="AO70" s="78">
        <f t="shared" si="198"/>
        <v>0.21099999999999999</v>
      </c>
      <c r="AP70" s="88">
        <f t="shared" si="198"/>
        <v>12</v>
      </c>
      <c r="AQ70" s="64">
        <f t="shared" si="195"/>
        <v>21.5</v>
      </c>
      <c r="AR70" s="64">
        <f t="shared" si="196"/>
        <v>11.5</v>
      </c>
      <c r="AS70" s="88">
        <f t="shared" si="197"/>
        <v>1.1830000000000001</v>
      </c>
      <c r="AT70" s="91">
        <f t="shared" si="89"/>
        <v>283</v>
      </c>
      <c r="AU70" s="94"/>
      <c r="AV70" s="95"/>
      <c r="AW70" s="56">
        <f t="shared" si="174"/>
        <v>0</v>
      </c>
      <c r="AX70" s="351"/>
      <c r="AY70" s="100">
        <f t="shared" si="52"/>
        <v>9.9166666666666661</v>
      </c>
      <c r="AZ70" s="360"/>
      <c r="BA70" s="91">
        <f t="shared" si="161"/>
        <v>-609.52921366666669</v>
      </c>
      <c r="BB70" s="5">
        <f t="shared" si="134"/>
        <v>-9.9166666666666661</v>
      </c>
      <c r="BC70" s="363"/>
      <c r="BD70" s="91" t="e">
        <f t="shared" ca="1" si="175"/>
        <v>#N/A</v>
      </c>
      <c r="BE70" s="91" t="e">
        <f t="shared" ca="1" si="176"/>
        <v>#N/A</v>
      </c>
      <c r="BF70" s="91">
        <f t="shared" si="177"/>
        <v>31.833333333333329</v>
      </c>
      <c r="BG70" s="91" t="e">
        <f t="shared" ca="1" si="178"/>
        <v>#N/A</v>
      </c>
      <c r="BH70" s="91" t="e">
        <f t="shared" ca="1" si="61"/>
        <v>#N/A</v>
      </c>
      <c r="BI70" s="10" t="e">
        <f t="shared" ca="1" si="192"/>
        <v>#N/A</v>
      </c>
      <c r="BJ70" s="104">
        <f>((M70+Q70)*AJ70+AK70)+((U70-W70+W70/('Vergleich Holz Strom'!$B$8-0.6))*AO70+AP70)</f>
        <v>21.916666666666664</v>
      </c>
      <c r="BK70" s="10" t="e">
        <f t="shared" ca="1" si="135"/>
        <v>#N/A</v>
      </c>
      <c r="BL70" s="379"/>
      <c r="BM70" s="104" t="e">
        <f t="shared" ca="1" si="188"/>
        <v>#N/A</v>
      </c>
      <c r="BN70" s="40" t="e">
        <f ca="1">IF(ISNUMBER(BK70),BN69+SUMIF(BK62:BK73,"&lt;&gt;#NV",BK62:BK73)/COUNTIF(BK62:BK73,"&lt;&gt;#NV"),#N/A)</f>
        <v>#N/A</v>
      </c>
      <c r="BO70" s="10" t="e">
        <f t="shared" ca="1" si="157"/>
        <v>#N/A</v>
      </c>
      <c r="BP70" s="104" t="e">
        <f t="shared" ca="1" si="136"/>
        <v>#N/A</v>
      </c>
      <c r="BQ70" s="104">
        <f t="shared" ca="1" si="154"/>
        <v>-61676.702546999899</v>
      </c>
      <c r="BR70" s="10">
        <f t="shared" si="179"/>
        <v>9.9166666666666661</v>
      </c>
      <c r="BS70" s="311"/>
      <c r="BT70" s="307"/>
      <c r="BU70" s="295">
        <f t="shared" si="180"/>
        <v>0</v>
      </c>
      <c r="BV70" s="323"/>
      <c r="BW70" s="299">
        <f t="shared" si="181"/>
        <v>0</v>
      </c>
      <c r="BX70" s="295">
        <f t="shared" si="182"/>
        <v>0</v>
      </c>
      <c r="BY70" s="382"/>
      <c r="BZ70" s="299">
        <f t="shared" si="189"/>
        <v>0</v>
      </c>
      <c r="CA70" s="295">
        <f t="shared" si="193"/>
        <v>0</v>
      </c>
      <c r="CB70" s="323"/>
      <c r="CC70" s="314">
        <f t="shared" si="76"/>
        <v>0</v>
      </c>
      <c r="CD70" s="326"/>
      <c r="CE70" s="299">
        <f t="shared" si="183"/>
        <v>0</v>
      </c>
      <c r="CF70" s="284">
        <f t="shared" si="77"/>
        <v>0</v>
      </c>
      <c r="CG70" s="323"/>
      <c r="CH70" s="302">
        <f t="shared" si="58"/>
        <v>0</v>
      </c>
      <c r="CI70" s="108">
        <f t="shared" si="184"/>
        <v>0</v>
      </c>
      <c r="CJ70" s="200">
        <f t="shared" si="185"/>
        <v>0</v>
      </c>
      <c r="CK70" s="197">
        <f t="shared" ref="CK70:CK133" si="199">U70*AM70</f>
        <v>0</v>
      </c>
      <c r="CL70" s="203">
        <f t="shared" si="186"/>
        <v>12</v>
      </c>
      <c r="CM70" s="4">
        <f>U70*Jahresdaten!$AD$2</f>
        <v>0</v>
      </c>
      <c r="CN70" s="112">
        <f>CJ70*Jahresdaten!$AD$2</f>
        <v>0</v>
      </c>
      <c r="CO70" s="366"/>
      <c r="CP70" s="116">
        <f>U70*Jahresdaten!$AD$3</f>
        <v>0</v>
      </c>
      <c r="CQ70" s="12">
        <f>CJ70*Jahresdaten!$AD$3</f>
        <v>0</v>
      </c>
      <c r="CR70" s="353"/>
      <c r="CS70" s="14"/>
      <c r="CT70" s="136"/>
      <c r="CU70" s="140" t="str">
        <f>IF(CT70=0,"",CT70*'Vergleich Holz Strom'!$B$2)</f>
        <v/>
      </c>
      <c r="CV70" s="353"/>
      <c r="CW70" s="366"/>
      <c r="CX70" s="345"/>
      <c r="CY70" s="345"/>
      <c r="CZ70" s="345"/>
      <c r="DA70" s="348"/>
      <c r="DB70" s="94"/>
      <c r="DC70" s="88">
        <f t="shared" si="53"/>
        <v>10111.261333333334</v>
      </c>
      <c r="DD70" s="94"/>
      <c r="DE70" s="88">
        <f t="shared" si="56"/>
        <v>-7260.1125469999997</v>
      </c>
      <c r="DF70" s="100" t="e">
        <f ca="1">BE70+(SUM(CS62:CS73)/12)</f>
        <v>#N/A</v>
      </c>
      <c r="DG70" s="351"/>
      <c r="DH70" s="8">
        <f t="shared" si="162"/>
        <v>0</v>
      </c>
      <c r="DI70" s="123">
        <f t="shared" si="137"/>
        <v>17200</v>
      </c>
      <c r="DJ70" s="2">
        <f t="shared" si="163"/>
        <v>0</v>
      </c>
      <c r="DK70" s="127">
        <f>DK73/12*9</f>
        <v>5850</v>
      </c>
      <c r="DL70" s="2">
        <f t="shared" si="114"/>
        <v>650</v>
      </c>
      <c r="DM70" s="130">
        <f t="shared" si="164"/>
        <v>0</v>
      </c>
      <c r="DN70" s="3">
        <f>DN73/12*9</f>
        <v>2250</v>
      </c>
      <c r="DO70" s="130">
        <f t="shared" si="116"/>
        <v>250</v>
      </c>
      <c r="DP70" s="4">
        <f t="shared" si="165"/>
        <v>0</v>
      </c>
      <c r="DQ70" s="116">
        <f t="shared" si="166"/>
        <v>9100</v>
      </c>
      <c r="DR70" s="116">
        <f t="shared" si="169"/>
        <v>300</v>
      </c>
    </row>
    <row r="71" spans="1:122" ht="14.25" customHeight="1" thickBot="1" x14ac:dyDescent="0.2">
      <c r="A71" s="416"/>
      <c r="B71" s="16">
        <v>45474</v>
      </c>
      <c r="C71" s="207">
        <f>'PV-Felder'!$I$8</f>
        <v>3593.8</v>
      </c>
      <c r="D71" s="351"/>
      <c r="E71" s="61">
        <v>0</v>
      </c>
      <c r="F71" s="351"/>
      <c r="G71" s="56" t="e">
        <f t="shared" ca="1" si="171"/>
        <v>#N/A</v>
      </c>
      <c r="H71" s="351"/>
      <c r="I71" s="61">
        <v>0</v>
      </c>
      <c r="J71" s="351"/>
      <c r="K71" s="61">
        <v>0</v>
      </c>
      <c r="L71" s="351"/>
      <c r="M71" s="65">
        <f t="shared" si="190"/>
        <v>0</v>
      </c>
      <c r="N71" s="373"/>
      <c r="O71" s="288"/>
      <c r="P71" s="288"/>
      <c r="Q71" s="286">
        <f t="shared" si="172"/>
        <v>0</v>
      </c>
      <c r="R71" s="334"/>
      <c r="S71" s="61">
        <v>0</v>
      </c>
      <c r="T71" s="376"/>
      <c r="U71" s="61">
        <v>0</v>
      </c>
      <c r="V71" s="342"/>
      <c r="W71" s="61">
        <v>0</v>
      </c>
      <c r="X71" s="342"/>
      <c r="Y71" s="211" t="e">
        <f t="shared" si="106"/>
        <v>#N/A</v>
      </c>
      <c r="Z71" s="370"/>
      <c r="AA71" s="61">
        <v>0</v>
      </c>
      <c r="AB71" s="351"/>
      <c r="AC71" s="61">
        <v>0</v>
      </c>
      <c r="AD71" s="351"/>
      <c r="AE71" s="73" t="e">
        <f t="shared" si="131"/>
        <v>#N/A</v>
      </c>
      <c r="AF71" s="356"/>
      <c r="AG71" s="73" t="e">
        <f t="shared" si="132"/>
        <v>#N/A</v>
      </c>
      <c r="AH71" s="356"/>
      <c r="AI71" s="221">
        <f t="shared" si="167"/>
        <v>29.26</v>
      </c>
      <c r="AJ71" s="78">
        <f t="shared" ref="AJ71:AP71" si="200">AJ70</f>
        <v>0.26750000000000002</v>
      </c>
      <c r="AK71" s="79">
        <f t="shared" si="200"/>
        <v>9.9166666666666661</v>
      </c>
      <c r="AL71" s="80">
        <f t="shared" si="200"/>
        <v>187</v>
      </c>
      <c r="AM71" s="78">
        <f t="shared" si="200"/>
        <v>9.737942583732058E-2</v>
      </c>
      <c r="AN71" s="80">
        <f t="shared" si="200"/>
        <v>143</v>
      </c>
      <c r="AO71" s="78">
        <f t="shared" si="200"/>
        <v>0.21099999999999999</v>
      </c>
      <c r="AP71" s="88">
        <f t="shared" si="200"/>
        <v>12</v>
      </c>
      <c r="AQ71" s="64">
        <f t="shared" si="195"/>
        <v>21.5</v>
      </c>
      <c r="AR71" s="64">
        <f t="shared" si="196"/>
        <v>11.5</v>
      </c>
      <c r="AS71" s="88">
        <f t="shared" si="197"/>
        <v>1.1830000000000001</v>
      </c>
      <c r="AT71" s="91">
        <f t="shared" si="89"/>
        <v>283</v>
      </c>
      <c r="AU71" s="94"/>
      <c r="AV71" s="95"/>
      <c r="AW71" s="56">
        <f t="shared" si="174"/>
        <v>0</v>
      </c>
      <c r="AX71" s="351"/>
      <c r="AY71" s="100">
        <f t="shared" ref="AY71:AY134" si="201">(AA71*AJ71+AK71)-(AC71*AM71)</f>
        <v>9.9166666666666661</v>
      </c>
      <c r="AZ71" s="360"/>
      <c r="BA71" s="91">
        <f t="shared" si="161"/>
        <v>-619.44588033333332</v>
      </c>
      <c r="BB71" s="5">
        <f t="shared" si="134"/>
        <v>-9.9166666666666661</v>
      </c>
      <c r="BC71" s="363"/>
      <c r="BD71" s="91" t="e">
        <f t="shared" ca="1" si="175"/>
        <v>#N/A</v>
      </c>
      <c r="BE71" s="91" t="e">
        <f t="shared" ca="1" si="176"/>
        <v>#N/A</v>
      </c>
      <c r="BF71" s="91">
        <f t="shared" si="177"/>
        <v>31.833333333333329</v>
      </c>
      <c r="BG71" s="91" t="e">
        <f t="shared" ca="1" si="178"/>
        <v>#N/A</v>
      </c>
      <c r="BH71" s="91" t="e">
        <f t="shared" ca="1" si="61"/>
        <v>#N/A</v>
      </c>
      <c r="BI71" s="10" t="e">
        <f t="shared" ca="1" si="192"/>
        <v>#N/A</v>
      </c>
      <c r="BJ71" s="104">
        <f>((M71+Q71)*AJ71+AK71)+((U71-W71+W71/('Vergleich Holz Strom'!$B$8-0.6))*AO71+AP71)</f>
        <v>21.916666666666664</v>
      </c>
      <c r="BK71" s="10" t="e">
        <f t="shared" ca="1" si="135"/>
        <v>#N/A</v>
      </c>
      <c r="BL71" s="379"/>
      <c r="BM71" s="104" t="e">
        <f t="shared" ca="1" si="188"/>
        <v>#N/A</v>
      </c>
      <c r="BN71" s="40" t="e">
        <f ca="1">IF(ISNUMBER(BK71),BN70+SUMIF(BK62:BK73,"&lt;&gt;#NV",BK62:BK73)/COUNTIF(BK62:BK73,"&lt;&gt;#NV"),#N/A)</f>
        <v>#N/A</v>
      </c>
      <c r="BO71" s="10" t="e">
        <f ca="1">BK71+AT71+AU71</f>
        <v>#N/A</v>
      </c>
      <c r="BP71" s="104" t="e">
        <f t="shared" ca="1" si="136"/>
        <v>#N/A</v>
      </c>
      <c r="BQ71" s="104">
        <f t="shared" ca="1" si="154"/>
        <v>-61659.902546999903</v>
      </c>
      <c r="BR71" s="10">
        <f t="shared" si="179"/>
        <v>9.9166666666666661</v>
      </c>
      <c r="BS71" s="311"/>
      <c r="BT71" s="307"/>
      <c r="BU71" s="295">
        <f t="shared" si="180"/>
        <v>0</v>
      </c>
      <c r="BV71" s="323"/>
      <c r="BW71" s="299">
        <f t="shared" si="181"/>
        <v>0</v>
      </c>
      <c r="BX71" s="295">
        <f t="shared" si="182"/>
        <v>0</v>
      </c>
      <c r="BY71" s="382"/>
      <c r="BZ71" s="299">
        <f t="shared" si="189"/>
        <v>0</v>
      </c>
      <c r="CA71" s="295">
        <f t="shared" si="193"/>
        <v>0</v>
      </c>
      <c r="CB71" s="323"/>
      <c r="CC71" s="314">
        <f t="shared" si="76"/>
        <v>0</v>
      </c>
      <c r="CD71" s="326"/>
      <c r="CE71" s="299">
        <f t="shared" si="183"/>
        <v>0</v>
      </c>
      <c r="CF71" s="284">
        <f t="shared" si="77"/>
        <v>0</v>
      </c>
      <c r="CG71" s="323"/>
      <c r="CH71" s="302">
        <f t="shared" si="58"/>
        <v>0</v>
      </c>
      <c r="CI71" s="108">
        <f t="shared" si="184"/>
        <v>0</v>
      </c>
      <c r="CJ71" s="200">
        <f t="shared" si="185"/>
        <v>0</v>
      </c>
      <c r="CK71" s="197">
        <f t="shared" si="199"/>
        <v>0</v>
      </c>
      <c r="CL71" s="203">
        <f t="shared" si="186"/>
        <v>12</v>
      </c>
      <c r="CM71" s="4">
        <f>U71*Jahresdaten!$AD$2</f>
        <v>0</v>
      </c>
      <c r="CN71" s="112">
        <f>CJ71*Jahresdaten!$AD$2</f>
        <v>0</v>
      </c>
      <c r="CO71" s="366"/>
      <c r="CP71" s="116">
        <f>U71*Jahresdaten!$AD$3</f>
        <v>0</v>
      </c>
      <c r="CQ71" s="12">
        <f>CJ71*Jahresdaten!$AD$3</f>
        <v>0</v>
      </c>
      <c r="CR71" s="353"/>
      <c r="CS71" s="14"/>
      <c r="CT71" s="136"/>
      <c r="CU71" s="140" t="str">
        <f>IF(CT71=0,"",CT71*'Vergleich Holz Strom'!$B$2)</f>
        <v/>
      </c>
      <c r="CV71" s="353"/>
      <c r="CW71" s="366"/>
      <c r="CX71" s="345"/>
      <c r="CY71" s="345"/>
      <c r="CZ71" s="345"/>
      <c r="DA71" s="348"/>
      <c r="DB71" s="94"/>
      <c r="DC71" s="88">
        <f t="shared" ref="DC71:DC106" si="202">DC70+AL71-(AA71*AJ71+AK71)-DB71</f>
        <v>10288.344666666668</v>
      </c>
      <c r="DD71" s="94"/>
      <c r="DE71" s="88">
        <f t="shared" si="56"/>
        <v>-7403.1125469999997</v>
      </c>
      <c r="DF71" s="100" t="e">
        <f ca="1">BE71+(SUM(CS62:CS73)/12)</f>
        <v>#N/A</v>
      </c>
      <c r="DG71" s="351"/>
      <c r="DH71" s="8">
        <f t="shared" si="162"/>
        <v>0</v>
      </c>
      <c r="DI71" s="123">
        <f t="shared" si="137"/>
        <v>18250</v>
      </c>
      <c r="DJ71" s="2">
        <f t="shared" si="163"/>
        <v>0</v>
      </c>
      <c r="DK71" s="127">
        <f>DK73/12*10</f>
        <v>6500</v>
      </c>
      <c r="DL71" s="2">
        <f t="shared" si="114"/>
        <v>650</v>
      </c>
      <c r="DM71" s="130">
        <f t="shared" si="164"/>
        <v>0</v>
      </c>
      <c r="DN71" s="3">
        <f>DN73/12*10</f>
        <v>2500</v>
      </c>
      <c r="DO71" s="130">
        <f t="shared" si="116"/>
        <v>250</v>
      </c>
      <c r="DP71" s="4">
        <f t="shared" si="165"/>
        <v>0</v>
      </c>
      <c r="DQ71" s="116">
        <f t="shared" si="166"/>
        <v>9250</v>
      </c>
      <c r="DR71" s="116">
        <f t="shared" si="169"/>
        <v>150</v>
      </c>
    </row>
    <row r="72" spans="1:122" ht="14.25" customHeight="1" thickBot="1" x14ac:dyDescent="0.2">
      <c r="A72" s="416"/>
      <c r="B72" s="16">
        <v>45505</v>
      </c>
      <c r="C72" s="207">
        <f>'PV-Felder'!$I$9</f>
        <v>3065.7</v>
      </c>
      <c r="D72" s="351"/>
      <c r="E72" s="61">
        <v>0</v>
      </c>
      <c r="F72" s="351"/>
      <c r="G72" s="56" t="e">
        <f t="shared" ca="1" si="171"/>
        <v>#N/A</v>
      </c>
      <c r="H72" s="351"/>
      <c r="I72" s="61">
        <v>0</v>
      </c>
      <c r="J72" s="351"/>
      <c r="K72" s="61">
        <v>0</v>
      </c>
      <c r="L72" s="351"/>
      <c r="M72" s="65">
        <f t="shared" si="190"/>
        <v>0</v>
      </c>
      <c r="N72" s="373"/>
      <c r="O72" s="288"/>
      <c r="P72" s="288"/>
      <c r="Q72" s="286">
        <f t="shared" si="172"/>
        <v>0</v>
      </c>
      <c r="R72" s="334"/>
      <c r="S72" s="61">
        <v>0</v>
      </c>
      <c r="T72" s="376"/>
      <c r="U72" s="61">
        <v>0</v>
      </c>
      <c r="V72" s="342"/>
      <c r="W72" s="61">
        <v>0</v>
      </c>
      <c r="X72" s="342"/>
      <c r="Y72" s="211" t="e">
        <f t="shared" si="106"/>
        <v>#N/A</v>
      </c>
      <c r="Z72" s="370"/>
      <c r="AA72" s="61">
        <v>0</v>
      </c>
      <c r="AB72" s="351"/>
      <c r="AC72" s="61">
        <v>0</v>
      </c>
      <c r="AD72" s="351"/>
      <c r="AE72" s="73" t="e">
        <f t="shared" si="131"/>
        <v>#N/A</v>
      </c>
      <c r="AF72" s="356"/>
      <c r="AG72" s="73" t="e">
        <f t="shared" si="132"/>
        <v>#N/A</v>
      </c>
      <c r="AH72" s="356"/>
      <c r="AI72" s="221">
        <f t="shared" si="167"/>
        <v>29.26</v>
      </c>
      <c r="AJ72" s="78">
        <f t="shared" ref="AJ72:AP72" si="203">AJ71</f>
        <v>0.26750000000000002</v>
      </c>
      <c r="AK72" s="79">
        <f t="shared" si="203"/>
        <v>9.9166666666666661</v>
      </c>
      <c r="AL72" s="80">
        <f t="shared" si="203"/>
        <v>187</v>
      </c>
      <c r="AM72" s="78">
        <f t="shared" si="203"/>
        <v>9.737942583732058E-2</v>
      </c>
      <c r="AN72" s="80">
        <f t="shared" si="203"/>
        <v>143</v>
      </c>
      <c r="AO72" s="78">
        <f t="shared" si="203"/>
        <v>0.21099999999999999</v>
      </c>
      <c r="AP72" s="88">
        <f t="shared" si="203"/>
        <v>12</v>
      </c>
      <c r="AQ72" s="64">
        <f t="shared" si="195"/>
        <v>21.5</v>
      </c>
      <c r="AR72" s="64">
        <f t="shared" si="196"/>
        <v>11.5</v>
      </c>
      <c r="AS72" s="88">
        <f t="shared" si="197"/>
        <v>1.1830000000000001</v>
      </c>
      <c r="AT72" s="91">
        <f t="shared" si="89"/>
        <v>283</v>
      </c>
      <c r="AU72" s="94"/>
      <c r="AV72" s="95"/>
      <c r="AW72" s="56">
        <f t="shared" si="174"/>
        <v>0</v>
      </c>
      <c r="AX72" s="351"/>
      <c r="AY72" s="100">
        <f t="shared" si="201"/>
        <v>9.9166666666666661</v>
      </c>
      <c r="AZ72" s="360"/>
      <c r="BA72" s="91">
        <f t="shared" si="161"/>
        <v>-629.36254699999995</v>
      </c>
      <c r="BB72" s="5">
        <f t="shared" si="134"/>
        <v>-9.9166666666666661</v>
      </c>
      <c r="BC72" s="363"/>
      <c r="BD72" s="91" t="e">
        <f t="shared" ca="1" si="175"/>
        <v>#N/A</v>
      </c>
      <c r="BE72" s="91" t="e">
        <f t="shared" ca="1" si="176"/>
        <v>#N/A</v>
      </c>
      <c r="BF72" s="91">
        <f t="shared" si="177"/>
        <v>31.833333333333329</v>
      </c>
      <c r="BG72" s="91" t="e">
        <f t="shared" ca="1" si="178"/>
        <v>#N/A</v>
      </c>
      <c r="BH72" s="91" t="e">
        <f t="shared" ca="1" si="61"/>
        <v>#N/A</v>
      </c>
      <c r="BI72" s="10" t="e">
        <f t="shared" ca="1" si="192"/>
        <v>#N/A</v>
      </c>
      <c r="BJ72" s="104">
        <f>((M72+Q72)*AJ72+AK72)+((U72-W72+W72/('Vergleich Holz Strom'!$B$8-0.6))*AO72+AP72)</f>
        <v>21.916666666666664</v>
      </c>
      <c r="BK72" s="10" t="e">
        <f t="shared" ca="1" si="135"/>
        <v>#N/A</v>
      </c>
      <c r="BL72" s="379"/>
      <c r="BM72" s="104" t="e">
        <f t="shared" ca="1" si="188"/>
        <v>#N/A</v>
      </c>
      <c r="BN72" s="40" t="e">
        <f ca="1">IF(ISNUMBER(BK72),BN71+SUMIF(BK62:BK73,"&lt;&gt;#NV",BK62:BK73)/COUNTIF(BK62:BK73,"&lt;&gt;#NV"),#N/A)</f>
        <v>#N/A</v>
      </c>
      <c r="BO72" s="10" t="e">
        <f t="shared" ref="BO72:BO82" ca="1" si="204">BK72+AT72+AU72</f>
        <v>#N/A</v>
      </c>
      <c r="BP72" s="104" t="e">
        <f t="shared" ca="1" si="136"/>
        <v>#N/A</v>
      </c>
      <c r="BQ72" s="104">
        <f t="shared" ca="1" si="154"/>
        <v>-61643.102546999908</v>
      </c>
      <c r="BR72" s="10">
        <f t="shared" si="179"/>
        <v>9.9166666666666661</v>
      </c>
      <c r="BS72" s="311"/>
      <c r="BT72" s="307"/>
      <c r="BU72" s="295">
        <f t="shared" si="180"/>
        <v>0</v>
      </c>
      <c r="BV72" s="323"/>
      <c r="BW72" s="299">
        <f t="shared" si="181"/>
        <v>0</v>
      </c>
      <c r="BX72" s="295">
        <f t="shared" si="182"/>
        <v>0</v>
      </c>
      <c r="BY72" s="382"/>
      <c r="BZ72" s="299">
        <f t="shared" si="189"/>
        <v>0</v>
      </c>
      <c r="CA72" s="295">
        <f t="shared" si="193"/>
        <v>0</v>
      </c>
      <c r="CB72" s="323"/>
      <c r="CC72" s="314">
        <f t="shared" si="76"/>
        <v>0</v>
      </c>
      <c r="CD72" s="326"/>
      <c r="CE72" s="299">
        <f t="shared" si="183"/>
        <v>0</v>
      </c>
      <c r="CF72" s="284">
        <f t="shared" si="77"/>
        <v>0</v>
      </c>
      <c r="CG72" s="323"/>
      <c r="CH72" s="302">
        <f t="shared" si="58"/>
        <v>0</v>
      </c>
      <c r="CI72" s="108">
        <f t="shared" si="184"/>
        <v>0</v>
      </c>
      <c r="CJ72" s="200">
        <f t="shared" si="185"/>
        <v>0</v>
      </c>
      <c r="CK72" s="197">
        <f t="shared" si="199"/>
        <v>0</v>
      </c>
      <c r="CL72" s="203">
        <f t="shared" si="186"/>
        <v>12</v>
      </c>
      <c r="CM72" s="4">
        <f>U72*Jahresdaten!$AD$2</f>
        <v>0</v>
      </c>
      <c r="CN72" s="112">
        <f>CJ72*Jahresdaten!$AD$2</f>
        <v>0</v>
      </c>
      <c r="CO72" s="366"/>
      <c r="CP72" s="116">
        <f>U72*Jahresdaten!$AD$3</f>
        <v>0</v>
      </c>
      <c r="CQ72" s="12">
        <f>CJ72*Jahresdaten!$AD$3</f>
        <v>0</v>
      </c>
      <c r="CR72" s="353"/>
      <c r="CS72" s="14"/>
      <c r="CT72" s="136"/>
      <c r="CU72" s="140" t="str">
        <f>IF(CT72=0,"",CT72*'Vergleich Holz Strom'!$B$2)</f>
        <v/>
      </c>
      <c r="CV72" s="353"/>
      <c r="CW72" s="366"/>
      <c r="CX72" s="345"/>
      <c r="CY72" s="345"/>
      <c r="CZ72" s="345"/>
      <c r="DA72" s="348"/>
      <c r="DB72" s="94"/>
      <c r="DC72" s="88">
        <f t="shared" si="202"/>
        <v>10465.428000000002</v>
      </c>
      <c r="DD72" s="94"/>
      <c r="DE72" s="88">
        <f t="shared" ref="DE72:DE107" si="205">DE71+(AC72*AM72-AN72)-DD72</f>
        <v>-7546.1125469999997</v>
      </c>
      <c r="DF72" s="100" t="e">
        <f ca="1">BE72+(SUM(CS62:CS73)/12)</f>
        <v>#N/A</v>
      </c>
      <c r="DG72" s="351"/>
      <c r="DH72" s="8">
        <f t="shared" si="162"/>
        <v>0</v>
      </c>
      <c r="DI72" s="123">
        <f t="shared" si="137"/>
        <v>19300</v>
      </c>
      <c r="DJ72" s="2">
        <f t="shared" si="163"/>
        <v>0</v>
      </c>
      <c r="DK72" s="127">
        <f>DK73/12*11</f>
        <v>7150</v>
      </c>
      <c r="DL72" s="2">
        <f t="shared" si="114"/>
        <v>650</v>
      </c>
      <c r="DM72" s="130">
        <f t="shared" si="164"/>
        <v>0</v>
      </c>
      <c r="DN72" s="3">
        <f>DN73/12*11</f>
        <v>2750</v>
      </c>
      <c r="DO72" s="130">
        <f t="shared" si="116"/>
        <v>250</v>
      </c>
      <c r="DP72" s="4">
        <f t="shared" si="165"/>
        <v>0</v>
      </c>
      <c r="DQ72" s="116">
        <f t="shared" si="166"/>
        <v>9400</v>
      </c>
      <c r="DR72" s="116">
        <f t="shared" si="169"/>
        <v>150</v>
      </c>
    </row>
    <row r="73" spans="1:122" s="28" customFormat="1" ht="15" customHeight="1" thickBot="1" x14ac:dyDescent="0.2">
      <c r="A73" s="417"/>
      <c r="B73" s="18">
        <v>45536</v>
      </c>
      <c r="C73" s="208">
        <f>'PV-Felder'!$I$10</f>
        <v>2246.7000000000003</v>
      </c>
      <c r="D73" s="352"/>
      <c r="E73" s="63">
        <v>0</v>
      </c>
      <c r="F73" s="352"/>
      <c r="G73" s="57" t="e">
        <f t="shared" ca="1" si="171"/>
        <v>#N/A</v>
      </c>
      <c r="H73" s="352"/>
      <c r="I73" s="63">
        <v>0</v>
      </c>
      <c r="J73" s="352"/>
      <c r="K73" s="63">
        <v>0</v>
      </c>
      <c r="L73" s="352"/>
      <c r="M73" s="67">
        <f t="shared" si="190"/>
        <v>0</v>
      </c>
      <c r="N73" s="374"/>
      <c r="O73" s="290"/>
      <c r="P73" s="290"/>
      <c r="Q73" s="289">
        <f t="shared" si="172"/>
        <v>0</v>
      </c>
      <c r="R73" s="334"/>
      <c r="S73" s="63">
        <v>0</v>
      </c>
      <c r="T73" s="377"/>
      <c r="U73" s="63">
        <v>0</v>
      </c>
      <c r="V73" s="343"/>
      <c r="W73" s="63">
        <v>0</v>
      </c>
      <c r="X73" s="343"/>
      <c r="Y73" s="213" t="e">
        <f t="shared" si="106"/>
        <v>#N/A</v>
      </c>
      <c r="Z73" s="371"/>
      <c r="AA73" s="63">
        <v>0</v>
      </c>
      <c r="AB73" s="352"/>
      <c r="AC73" s="63">
        <v>0</v>
      </c>
      <c r="AD73" s="352"/>
      <c r="AE73" s="75" t="e">
        <f t="shared" si="131"/>
        <v>#N/A</v>
      </c>
      <c r="AF73" s="357"/>
      <c r="AG73" s="75" t="e">
        <f t="shared" si="132"/>
        <v>#N/A</v>
      </c>
      <c r="AH73" s="357"/>
      <c r="AI73" s="223">
        <f>AI72</f>
        <v>29.26</v>
      </c>
      <c r="AJ73" s="83">
        <f t="shared" ref="AJ73:AP73" si="206">AJ72</f>
        <v>0.26750000000000002</v>
      </c>
      <c r="AK73" s="21">
        <f t="shared" si="206"/>
        <v>9.9166666666666661</v>
      </c>
      <c r="AL73" s="84">
        <f t="shared" si="206"/>
        <v>187</v>
      </c>
      <c r="AM73" s="83">
        <f t="shared" si="206"/>
        <v>9.737942583732058E-2</v>
      </c>
      <c r="AN73" s="84">
        <f t="shared" si="206"/>
        <v>143</v>
      </c>
      <c r="AO73" s="83">
        <f t="shared" si="206"/>
        <v>0.21099999999999999</v>
      </c>
      <c r="AP73" s="90">
        <f t="shared" si="206"/>
        <v>12</v>
      </c>
      <c r="AQ73" s="125">
        <f t="shared" si="195"/>
        <v>21.5</v>
      </c>
      <c r="AR73" s="125">
        <f t="shared" si="196"/>
        <v>11.5</v>
      </c>
      <c r="AS73" s="92">
        <f t="shared" si="197"/>
        <v>1.1830000000000001</v>
      </c>
      <c r="AT73" s="92">
        <f t="shared" si="89"/>
        <v>283</v>
      </c>
      <c r="AU73" s="98"/>
      <c r="AV73" s="99"/>
      <c r="AW73" s="57">
        <f t="shared" si="174"/>
        <v>0</v>
      </c>
      <c r="AX73" s="352"/>
      <c r="AY73" s="102">
        <f t="shared" si="201"/>
        <v>9.9166666666666661</v>
      </c>
      <c r="AZ73" s="361"/>
      <c r="BA73" s="92">
        <f t="shared" si="161"/>
        <v>-639.27921366666658</v>
      </c>
      <c r="BB73" s="22">
        <f t="shared" si="134"/>
        <v>-9.9166666666666661</v>
      </c>
      <c r="BC73" s="364"/>
      <c r="BD73" s="92" t="e">
        <f t="shared" ca="1" si="175"/>
        <v>#N/A</v>
      </c>
      <c r="BE73" s="92" t="e">
        <f t="shared" ca="1" si="176"/>
        <v>#N/A</v>
      </c>
      <c r="BF73" s="92">
        <f t="shared" si="177"/>
        <v>31.833333333333329</v>
      </c>
      <c r="BG73" s="92" t="e">
        <f t="shared" ca="1" si="178"/>
        <v>#N/A</v>
      </c>
      <c r="BH73" s="92" t="e">
        <f t="shared" ca="1" si="61"/>
        <v>#N/A</v>
      </c>
      <c r="BI73" s="24" t="e">
        <f t="shared" ca="1" si="192"/>
        <v>#N/A</v>
      </c>
      <c r="BJ73" s="106">
        <f>((M73+Q73)*AJ73+AK73)+((U73-W73+W73/('Vergleich Holz Strom'!$B$8-0.6))*AO73+AP73)</f>
        <v>21.916666666666664</v>
      </c>
      <c r="BK73" s="24" t="e">
        <f t="shared" ca="1" si="135"/>
        <v>#N/A</v>
      </c>
      <c r="BL73" s="380"/>
      <c r="BM73" s="106" t="e">
        <f t="shared" ca="1" si="188"/>
        <v>#N/A</v>
      </c>
      <c r="BN73" s="226" t="e">
        <f ca="1">IF(ISNUMBER(BK73),BN72+SUMIF(BK62:BK73,"&lt;&gt;#NV",BK62:BK73)/COUNTIF(BK62:BK73,"&lt;&gt;#NV"),#N/A)</f>
        <v>#N/A</v>
      </c>
      <c r="BO73" s="318" t="e">
        <f t="shared" ca="1" si="204"/>
        <v>#N/A</v>
      </c>
      <c r="BP73" s="106" t="e">
        <f t="shared" ca="1" si="136"/>
        <v>#N/A</v>
      </c>
      <c r="BQ73" s="106">
        <f t="shared" ca="1" si="154"/>
        <v>-61626.302546999912</v>
      </c>
      <c r="BR73" s="24">
        <f t="shared" si="179"/>
        <v>9.9166666666666661</v>
      </c>
      <c r="BS73" s="312"/>
      <c r="BT73" s="308"/>
      <c r="BU73" s="296">
        <f t="shared" si="180"/>
        <v>0</v>
      </c>
      <c r="BV73" s="324"/>
      <c r="BW73" s="292">
        <f t="shared" si="181"/>
        <v>0</v>
      </c>
      <c r="BX73" s="295">
        <f t="shared" si="182"/>
        <v>0</v>
      </c>
      <c r="BY73" s="382"/>
      <c r="BZ73" s="299">
        <f t="shared" si="189"/>
        <v>0</v>
      </c>
      <c r="CA73" s="296">
        <f t="shared" si="193"/>
        <v>0</v>
      </c>
      <c r="CB73" s="324"/>
      <c r="CC73" s="315">
        <f t="shared" si="76"/>
        <v>0</v>
      </c>
      <c r="CD73" s="327"/>
      <c r="CE73" s="292">
        <f t="shared" si="183"/>
        <v>0</v>
      </c>
      <c r="CF73" s="296">
        <f t="shared" si="77"/>
        <v>0</v>
      </c>
      <c r="CG73" s="324"/>
      <c r="CH73" s="303">
        <f t="shared" si="58"/>
        <v>0</v>
      </c>
      <c r="CI73" s="110">
        <f t="shared" si="184"/>
        <v>0</v>
      </c>
      <c r="CJ73" s="200">
        <f t="shared" si="185"/>
        <v>0</v>
      </c>
      <c r="CK73" s="25">
        <f t="shared" si="199"/>
        <v>0</v>
      </c>
      <c r="CL73" s="204">
        <f t="shared" si="186"/>
        <v>12</v>
      </c>
      <c r="CM73" s="26">
        <f>U73*Jahresdaten!$AD$2</f>
        <v>0</v>
      </c>
      <c r="CN73" s="114">
        <f>CJ73*Jahresdaten!$AD$2</f>
        <v>0</v>
      </c>
      <c r="CO73" s="346"/>
      <c r="CP73" s="118">
        <f>U73*Jahresdaten!$AD$3</f>
        <v>0</v>
      </c>
      <c r="CQ73" s="25">
        <f>CJ73*Jahresdaten!$AD$3</f>
        <v>0</v>
      </c>
      <c r="CR73" s="354"/>
      <c r="CS73" s="23"/>
      <c r="CT73" s="138"/>
      <c r="CU73" s="141" t="str">
        <f>IF(CT73=0,"",CT73*'Vergleich Holz Strom'!$B$2)</f>
        <v/>
      </c>
      <c r="CV73" s="354"/>
      <c r="CW73" s="346"/>
      <c r="CX73" s="346"/>
      <c r="CY73" s="346"/>
      <c r="CZ73" s="346"/>
      <c r="DA73" s="349"/>
      <c r="DB73" s="98"/>
      <c r="DC73" s="90">
        <f t="shared" si="202"/>
        <v>10642.511333333336</v>
      </c>
      <c r="DD73" s="98"/>
      <c r="DE73" s="90">
        <f t="shared" si="205"/>
        <v>-7689.1125469999997</v>
      </c>
      <c r="DF73" s="102" t="e">
        <f ca="1">BE73+(SUM(CS62:CS73)/12)</f>
        <v>#N/A</v>
      </c>
      <c r="DG73" s="352"/>
      <c r="DH73" s="19">
        <f t="shared" si="162"/>
        <v>0</v>
      </c>
      <c r="DI73" s="125">
        <f t="shared" si="137"/>
        <v>20800</v>
      </c>
      <c r="DJ73" s="20">
        <f t="shared" si="163"/>
        <v>0</v>
      </c>
      <c r="DK73" s="129">
        <f>DK61</f>
        <v>7800</v>
      </c>
      <c r="DL73" s="20">
        <f t="shared" si="114"/>
        <v>650</v>
      </c>
      <c r="DM73" s="132">
        <f t="shared" si="164"/>
        <v>0</v>
      </c>
      <c r="DN73" s="27">
        <f>DN61</f>
        <v>3000</v>
      </c>
      <c r="DO73" s="132">
        <f t="shared" si="116"/>
        <v>250</v>
      </c>
      <c r="DP73" s="26">
        <f t="shared" si="165"/>
        <v>0</v>
      </c>
      <c r="DQ73" s="118">
        <f>DQ61</f>
        <v>10000</v>
      </c>
      <c r="DR73" s="118">
        <f>DR61</f>
        <v>600</v>
      </c>
    </row>
    <row r="74" spans="1:122" ht="15" customHeight="1" thickBot="1" x14ac:dyDescent="0.2">
      <c r="A74" s="415" t="s">
        <v>164</v>
      </c>
      <c r="B74" s="16">
        <v>45566</v>
      </c>
      <c r="C74" s="207">
        <f>'PV-Felder'!$I$11</f>
        <v>1416.7</v>
      </c>
      <c r="D74" s="358">
        <f>SUMIF(E74:E85,"&gt;0",C74:C85)</f>
        <v>0</v>
      </c>
      <c r="E74" s="61">
        <v>0</v>
      </c>
      <c r="F74" s="368">
        <f>SUM(E74:E85)</f>
        <v>0</v>
      </c>
      <c r="G74" s="58" t="e">
        <f t="shared" ca="1" si="171"/>
        <v>#N/A</v>
      </c>
      <c r="H74" s="358" t="e">
        <f ca="1">IF(TODAY()&lt;B74,#N/A,F74-D74)</f>
        <v>#N/A</v>
      </c>
      <c r="I74" s="61">
        <v>0</v>
      </c>
      <c r="J74" s="368">
        <f>SUM(I74:I85)</f>
        <v>0</v>
      </c>
      <c r="K74" s="61">
        <v>0</v>
      </c>
      <c r="L74" s="368">
        <f>SUM(K74:K85)</f>
        <v>0</v>
      </c>
      <c r="M74" s="66">
        <f t="shared" si="190"/>
        <v>0</v>
      </c>
      <c r="N74" s="372">
        <f>SUM(M74:M85)</f>
        <v>0</v>
      </c>
      <c r="Q74" s="287">
        <f t="shared" si="172"/>
        <v>0</v>
      </c>
      <c r="R74" s="333">
        <f>SUM(Q74:Q85)</f>
        <v>0</v>
      </c>
      <c r="S74" s="61">
        <v>0</v>
      </c>
      <c r="T74" s="375">
        <f>SUM(S74:S85)</f>
        <v>0</v>
      </c>
      <c r="U74" s="61">
        <v>0</v>
      </c>
      <c r="V74" s="341">
        <f>SUM(U74:U85)</f>
        <v>0</v>
      </c>
      <c r="W74" s="61">
        <v>0</v>
      </c>
      <c r="X74" s="341">
        <f>SUM(W74:W85)</f>
        <v>0</v>
      </c>
      <c r="Y74" s="211" t="e">
        <f t="shared" si="106"/>
        <v>#N/A</v>
      </c>
      <c r="Z74" s="369">
        <f>N74+T74+V74</f>
        <v>0</v>
      </c>
      <c r="AA74" s="62">
        <v>0</v>
      </c>
      <c r="AB74" s="368">
        <f>SUM(AA74:AA85)</f>
        <v>0</v>
      </c>
      <c r="AC74" s="62">
        <v>0</v>
      </c>
      <c r="AD74" s="368">
        <f>SUM(AC74:AC85)</f>
        <v>0</v>
      </c>
      <c r="AE74" s="74" t="e">
        <f t="shared" si="131"/>
        <v>#N/A</v>
      </c>
      <c r="AF74" s="355" t="e">
        <f>IF(SUMIF(AE74:AE85,"&gt;0")&gt;0,SUMIF(AE74:AE85,"&gt;0")/COUNTIF(AE74:AE85,"&gt;0"),#N/A)</f>
        <v>#N/A</v>
      </c>
      <c r="AG74" s="73" t="e">
        <f t="shared" si="132"/>
        <v>#N/A</v>
      </c>
      <c r="AH74" s="355" t="e">
        <f>IF(SUMIF(AG74:AG85,"&gt;0")&gt;0,SUMIF(AG74:AG85,"&gt;0")/COUNTIF(AG74:AG85,"&gt;0"),#N/A)</f>
        <v>#N/A</v>
      </c>
      <c r="AI74" s="222">
        <f>AI73</f>
        <v>29.26</v>
      </c>
      <c r="AJ74" s="78">
        <f t="shared" ref="AJ74:AP74" si="207">AJ73</f>
        <v>0.26750000000000002</v>
      </c>
      <c r="AK74" s="79">
        <f t="shared" si="207"/>
        <v>9.9166666666666661</v>
      </c>
      <c r="AL74" s="80">
        <f t="shared" si="207"/>
        <v>187</v>
      </c>
      <c r="AM74" s="78">
        <f t="shared" si="207"/>
        <v>9.737942583732058E-2</v>
      </c>
      <c r="AN74" s="80">
        <f t="shared" si="207"/>
        <v>143</v>
      </c>
      <c r="AO74" s="78">
        <f t="shared" si="207"/>
        <v>0.21099999999999999</v>
      </c>
      <c r="AP74" s="88">
        <f t="shared" si="207"/>
        <v>12</v>
      </c>
      <c r="AQ74" s="64">
        <f t="shared" si="195"/>
        <v>21.5</v>
      </c>
      <c r="AR74" s="64">
        <f t="shared" si="196"/>
        <v>11.5</v>
      </c>
      <c r="AS74" s="88">
        <f t="shared" si="197"/>
        <v>1.1830000000000001</v>
      </c>
      <c r="AT74" s="91">
        <f t="shared" si="89"/>
        <v>283</v>
      </c>
      <c r="AU74" s="94"/>
      <c r="AV74" s="95"/>
      <c r="AW74" s="56">
        <f t="shared" si="174"/>
        <v>0</v>
      </c>
      <c r="AX74" s="358">
        <f>SUM(AW74:AW85)</f>
        <v>0</v>
      </c>
      <c r="AY74" s="100">
        <f t="shared" si="201"/>
        <v>9.9166666666666661</v>
      </c>
      <c r="AZ74" s="359">
        <f>SUM(AY74:AY85)</f>
        <v>119.00000000000001</v>
      </c>
      <c r="BA74" s="103">
        <f>BA73-AY74</f>
        <v>-649.19588033333321</v>
      </c>
      <c r="BB74" s="5">
        <f t="shared" si="134"/>
        <v>-9.9166666666666661</v>
      </c>
      <c r="BC74" s="362">
        <f>SUM(AY74:AY85)/12</f>
        <v>9.9166666666666679</v>
      </c>
      <c r="BD74" s="91" t="e">
        <f t="shared" ca="1" si="175"/>
        <v>#N/A</v>
      </c>
      <c r="BE74" s="91" t="e">
        <f t="shared" ca="1" si="176"/>
        <v>#N/A</v>
      </c>
      <c r="BF74" s="91">
        <f t="shared" si="177"/>
        <v>31.833333333333329</v>
      </c>
      <c r="BG74" s="91" t="e">
        <f t="shared" ca="1" si="178"/>
        <v>#N/A</v>
      </c>
      <c r="BH74" s="91" t="e">
        <f t="shared" ca="1" si="61"/>
        <v>#N/A</v>
      </c>
      <c r="BI74" s="10" t="e">
        <f t="shared" ca="1" si="192"/>
        <v>#N/A</v>
      </c>
      <c r="BJ74" s="104">
        <f>((M74+Q74)*AJ74+AK74)+((U74-W74+W74/('Vergleich Holz Strom'!$B$8-0.6))*AO74+AP74)</f>
        <v>21.916666666666664</v>
      </c>
      <c r="BK74" s="10" t="e">
        <f t="shared" ca="1" si="135"/>
        <v>#N/A</v>
      </c>
      <c r="BL74" s="378">
        <f ca="1">SUMIF(BK74:BK85,"&lt;&gt;#NV",BK74:BK85)</f>
        <v>0</v>
      </c>
      <c r="BM74" s="104" t="e">
        <f t="shared" ca="1" si="188"/>
        <v>#N/A</v>
      </c>
      <c r="BN74" s="40" t="e">
        <f ca="1">IF(ISNUMBER(BK74),BN73+SUMIF(BK74:BK85,"&lt;&gt;#NV",BK74:BK85)/COUNTIF(BK74:BK85,"&lt;&gt;#NV"),#N/A)</f>
        <v>#N/A</v>
      </c>
      <c r="BO74" s="10" t="e">
        <f t="shared" ca="1" si="204"/>
        <v>#N/A</v>
      </c>
      <c r="BP74" s="105" t="e">
        <f t="shared" ca="1" si="136"/>
        <v>#N/A</v>
      </c>
      <c r="BQ74" s="104">
        <f t="shared" ca="1" si="154"/>
        <v>-61614.302546999912</v>
      </c>
      <c r="BR74" s="10">
        <f t="shared" si="179"/>
        <v>9.9166666666666661</v>
      </c>
      <c r="BS74" s="311"/>
      <c r="BT74" s="307"/>
      <c r="BU74" s="295">
        <f t="shared" si="180"/>
        <v>0</v>
      </c>
      <c r="BV74" s="322">
        <f>SUM(BU74:BU85)</f>
        <v>0</v>
      </c>
      <c r="BW74" s="300">
        <f t="shared" si="181"/>
        <v>0</v>
      </c>
      <c r="BX74" s="305">
        <f t="shared" si="182"/>
        <v>0</v>
      </c>
      <c r="BY74" s="381">
        <f>SUM(BX74:BX85)</f>
        <v>0</v>
      </c>
      <c r="BZ74" s="300">
        <f t="shared" si="189"/>
        <v>0</v>
      </c>
      <c r="CA74" s="295">
        <f t="shared" si="193"/>
        <v>0</v>
      </c>
      <c r="CB74" s="322">
        <f>SUM(CA74:CA85)</f>
        <v>0</v>
      </c>
      <c r="CC74" s="314">
        <f t="shared" si="76"/>
        <v>0</v>
      </c>
      <c r="CD74" s="325">
        <f>SUM(CC74:CC85)</f>
        <v>0</v>
      </c>
      <c r="CE74" s="299">
        <f t="shared" si="183"/>
        <v>0</v>
      </c>
      <c r="CF74" s="284">
        <f t="shared" si="77"/>
        <v>0</v>
      </c>
      <c r="CG74" s="328">
        <f>SUM(CF74:CF85)</f>
        <v>0</v>
      </c>
      <c r="CH74" s="302">
        <f t="shared" si="58"/>
        <v>0</v>
      </c>
      <c r="CI74" s="108">
        <f t="shared" si="184"/>
        <v>0</v>
      </c>
      <c r="CJ74" s="201">
        <f t="shared" si="185"/>
        <v>0</v>
      </c>
      <c r="CK74" s="197">
        <f t="shared" si="199"/>
        <v>0</v>
      </c>
      <c r="CL74" s="203">
        <f t="shared" si="186"/>
        <v>12</v>
      </c>
      <c r="CM74" s="4">
        <f>U74*Jahresdaten!$AD$2</f>
        <v>0</v>
      </c>
      <c r="CN74" s="112">
        <f>CJ74*Jahresdaten!$AD$2</f>
        <v>0</v>
      </c>
      <c r="CO74" s="365">
        <f>CW74*Jahresdaten!$AD$2</f>
        <v>856.59076092206669</v>
      </c>
      <c r="CP74" s="116">
        <f>U74*Jahresdaten!$AD$3</f>
        <v>0</v>
      </c>
      <c r="CQ74" s="12">
        <f>CJ74*Jahresdaten!$AD$3</f>
        <v>0</v>
      </c>
      <c r="CR74" s="367">
        <f>CW74*Jahresdaten!$AD$3</f>
        <v>312.40923907793319</v>
      </c>
      <c r="CS74" s="14">
        <f>CS62</f>
        <v>1169</v>
      </c>
      <c r="CT74" s="136">
        <f>CT62</f>
        <v>12</v>
      </c>
      <c r="CU74" s="140">
        <f>IF(CT74=0,"",CT74*'Vergleich Holz Strom'!$B$2)</f>
        <v>25800</v>
      </c>
      <c r="CV74" s="120" t="s">
        <v>7</v>
      </c>
      <c r="CW74" s="365">
        <f>CV75+CV81</f>
        <v>1169</v>
      </c>
      <c r="CX74" s="344">
        <f>SUM(CS74:CS85)/SUM(CU74:CU85)*(SUM(CU74:CU85)+(V74*('Vergleich Holz Strom'!$B$8-0.6)/'Vergleich Holz Strom'!$E$6))</f>
        <v>1169</v>
      </c>
      <c r="CY74" s="344">
        <f>SUM(CU74:CU85)*'Vergleich Holz Strom'!$E$6/('Vergleich Holz Strom'!$B$8-0.6)*(SUM(AJ74:AJ85)/12)+CV75</f>
        <v>1420.8970588235295</v>
      </c>
      <c r="CZ74" s="344">
        <f>SUM(CU74:CU85)*'Vergleich Holz Strom'!$E$6/('Vergleich Holz Strom'!$B$8-0.6)*SUM(AM74:AM85)/12+SUM(CK74:CK85)</f>
        <v>517.25659724176774</v>
      </c>
      <c r="DA74" s="347">
        <f>SUM(CU74:CU85)*'Vergleich Holz Strom'!$E$6/('Vergleich Holz Strom'!$B$8-0.6)*(SUM(AO74:AO85)/12)+SUM(CL74:CL85)</f>
        <v>1264.7823529411764</v>
      </c>
      <c r="DB74" s="94"/>
      <c r="DC74" s="88">
        <f t="shared" si="202"/>
        <v>10819.59466666667</v>
      </c>
      <c r="DD74" s="94"/>
      <c r="DE74" s="88">
        <f t="shared" si="205"/>
        <v>-7832.1125469999997</v>
      </c>
      <c r="DF74" s="100" t="e">
        <f ca="1">BE74+(SUM(CS74:CS85)/12)</f>
        <v>#N/A</v>
      </c>
      <c r="DG74" s="350">
        <f ca="1">SUMIF(DF74:DF85,"&gt;0")</f>
        <v>0</v>
      </c>
      <c r="DH74" s="8">
        <f>M74+S74+U74</f>
        <v>0</v>
      </c>
      <c r="DI74" s="123">
        <f t="shared" si="137"/>
        <v>1850</v>
      </c>
      <c r="DJ74" s="2">
        <f>M74</f>
        <v>0</v>
      </c>
      <c r="DK74" s="127">
        <f>DK85/12*1</f>
        <v>650</v>
      </c>
      <c r="DL74" s="2">
        <f>DL73</f>
        <v>650</v>
      </c>
      <c r="DM74" s="130">
        <f>S74</f>
        <v>0</v>
      </c>
      <c r="DN74" s="3">
        <f>DN85/12*1</f>
        <v>250</v>
      </c>
      <c r="DO74" s="130">
        <f>DO73</f>
        <v>250</v>
      </c>
      <c r="DP74" s="4">
        <f>U74</f>
        <v>0</v>
      </c>
      <c r="DQ74" s="116">
        <f>DR74</f>
        <v>950</v>
      </c>
      <c r="DR74" s="116">
        <f>DR62</f>
        <v>950</v>
      </c>
    </row>
    <row r="75" spans="1:122" ht="14.25" customHeight="1" thickBot="1" x14ac:dyDescent="0.2">
      <c r="A75" s="416"/>
      <c r="B75" s="16">
        <v>45597</v>
      </c>
      <c r="C75" s="207">
        <f>'PV-Felder'!$I$12</f>
        <v>739.6</v>
      </c>
      <c r="D75" s="351"/>
      <c r="E75" s="61">
        <v>0</v>
      </c>
      <c r="F75" s="351"/>
      <c r="G75" s="56" t="e">
        <f t="shared" ca="1" si="171"/>
        <v>#N/A</v>
      </c>
      <c r="H75" s="351"/>
      <c r="I75" s="61">
        <v>0</v>
      </c>
      <c r="J75" s="351"/>
      <c r="K75" s="61">
        <v>0</v>
      </c>
      <c r="L75" s="351"/>
      <c r="M75" s="65">
        <f t="shared" si="190"/>
        <v>0</v>
      </c>
      <c r="N75" s="373"/>
      <c r="O75" s="288"/>
      <c r="P75" s="288"/>
      <c r="Q75" s="286">
        <f t="shared" si="172"/>
        <v>0</v>
      </c>
      <c r="R75" s="334"/>
      <c r="S75" s="61">
        <v>0</v>
      </c>
      <c r="T75" s="376"/>
      <c r="U75" s="61">
        <v>0</v>
      </c>
      <c r="V75" s="342"/>
      <c r="W75" s="61">
        <v>0</v>
      </c>
      <c r="X75" s="342"/>
      <c r="Y75" s="211" t="e">
        <f t="shared" si="106"/>
        <v>#N/A</v>
      </c>
      <c r="Z75" s="370"/>
      <c r="AA75" s="61">
        <v>0</v>
      </c>
      <c r="AB75" s="351"/>
      <c r="AC75" s="61">
        <v>0</v>
      </c>
      <c r="AD75" s="351"/>
      <c r="AE75" s="73" t="e">
        <f t="shared" si="131"/>
        <v>#N/A</v>
      </c>
      <c r="AF75" s="356"/>
      <c r="AG75" s="73" t="e">
        <f t="shared" si="132"/>
        <v>#N/A</v>
      </c>
      <c r="AH75" s="356"/>
      <c r="AI75" s="221">
        <f>AI74</f>
        <v>29.26</v>
      </c>
      <c r="AJ75" s="78">
        <f t="shared" ref="AJ75:AN75" si="208">AJ74</f>
        <v>0.26750000000000002</v>
      </c>
      <c r="AK75" s="79">
        <f t="shared" si="208"/>
        <v>9.9166666666666661</v>
      </c>
      <c r="AL75" s="80">
        <f t="shared" si="208"/>
        <v>187</v>
      </c>
      <c r="AM75" s="78">
        <f t="shared" si="208"/>
        <v>9.737942583732058E-2</v>
      </c>
      <c r="AN75" s="80">
        <f t="shared" si="208"/>
        <v>143</v>
      </c>
      <c r="AO75" s="78">
        <f>AO74</f>
        <v>0.21099999999999999</v>
      </c>
      <c r="AP75" s="88">
        <f>AP74</f>
        <v>12</v>
      </c>
      <c r="AQ75" s="64">
        <f t="shared" si="195"/>
        <v>21.5</v>
      </c>
      <c r="AR75" s="64">
        <f t="shared" si="196"/>
        <v>11.5</v>
      </c>
      <c r="AS75" s="88">
        <f t="shared" si="197"/>
        <v>1.1830000000000001</v>
      </c>
      <c r="AT75" s="91">
        <f t="shared" si="89"/>
        <v>283</v>
      </c>
      <c r="AU75" s="94"/>
      <c r="AV75" s="95"/>
      <c r="AW75" s="56">
        <f t="shared" si="174"/>
        <v>0</v>
      </c>
      <c r="AX75" s="351"/>
      <c r="AY75" s="100">
        <f t="shared" si="201"/>
        <v>9.9166666666666661</v>
      </c>
      <c r="AZ75" s="360"/>
      <c r="BA75" s="91">
        <f t="shared" ref="BA75:BA85" si="209">BA74-AY75</f>
        <v>-659.11254699999984</v>
      </c>
      <c r="BB75" s="5">
        <f t="shared" si="134"/>
        <v>-9.9166666666666661</v>
      </c>
      <c r="BC75" s="363"/>
      <c r="BD75" s="91" t="e">
        <f t="shared" ca="1" si="175"/>
        <v>#N/A</v>
      </c>
      <c r="BE75" s="91" t="e">
        <f t="shared" ca="1" si="176"/>
        <v>#N/A</v>
      </c>
      <c r="BF75" s="91">
        <f t="shared" si="177"/>
        <v>31.833333333333329</v>
      </c>
      <c r="BG75" s="91" t="e">
        <f t="shared" ca="1" si="178"/>
        <v>#N/A</v>
      </c>
      <c r="BH75" s="91" t="e">
        <f t="shared" ca="1" si="61"/>
        <v>#N/A</v>
      </c>
      <c r="BI75" s="10" t="e">
        <f t="shared" ca="1" si="192"/>
        <v>#N/A</v>
      </c>
      <c r="BJ75" s="104">
        <f>((M75+Q75)*AJ75+AK75)+((U75-W75+W75/('Vergleich Holz Strom'!$B$8-0.6))*AO75+AP75)</f>
        <v>21.916666666666664</v>
      </c>
      <c r="BK75" s="10" t="e">
        <f t="shared" ca="1" si="135"/>
        <v>#N/A</v>
      </c>
      <c r="BL75" s="379"/>
      <c r="BM75" s="104" t="e">
        <f t="shared" ca="1" si="188"/>
        <v>#N/A</v>
      </c>
      <c r="BN75" s="40" t="e">
        <f ca="1">IF(ISNUMBER(BK75),BN74+SUMIF(BK74:BK85,"&lt;&gt;#NV",BK74:BK85)/COUNTIF(BK74:BK85,"&lt;&gt;#NV"),#N/A)</f>
        <v>#N/A</v>
      </c>
      <c r="BO75" s="10" t="e">
        <f t="shared" ca="1" si="204"/>
        <v>#N/A</v>
      </c>
      <c r="BP75" s="104" t="e">
        <f t="shared" ca="1" si="136"/>
        <v>#N/A</v>
      </c>
      <c r="BQ75" s="104">
        <f t="shared" ca="1" si="154"/>
        <v>-61602.302546999912</v>
      </c>
      <c r="BR75" s="10">
        <f t="shared" si="179"/>
        <v>9.9166666666666661</v>
      </c>
      <c r="BS75" s="311"/>
      <c r="BT75" s="307"/>
      <c r="BU75" s="295">
        <f t="shared" si="180"/>
        <v>0</v>
      </c>
      <c r="BV75" s="323"/>
      <c r="BW75" s="299">
        <f t="shared" si="181"/>
        <v>0</v>
      </c>
      <c r="BX75" s="295">
        <f t="shared" si="182"/>
        <v>0</v>
      </c>
      <c r="BY75" s="382"/>
      <c r="BZ75" s="299">
        <f t="shared" si="189"/>
        <v>0</v>
      </c>
      <c r="CA75" s="295">
        <f t="shared" si="193"/>
        <v>0</v>
      </c>
      <c r="CB75" s="323"/>
      <c r="CC75" s="314">
        <f>Q75/AQ75*100+BS75/AQ75*100</f>
        <v>0</v>
      </c>
      <c r="CD75" s="326"/>
      <c r="CE75" s="299">
        <f t="shared" si="183"/>
        <v>0</v>
      </c>
      <c r="CF75" s="284">
        <f>CE75-CA75</f>
        <v>0</v>
      </c>
      <c r="CG75" s="323"/>
      <c r="CH75" s="302">
        <f t="shared" si="58"/>
        <v>0</v>
      </c>
      <c r="CI75" s="108">
        <f t="shared" si="184"/>
        <v>0</v>
      </c>
      <c r="CJ75" s="200">
        <f t="shared" si="185"/>
        <v>0</v>
      </c>
      <c r="CK75" s="197">
        <f t="shared" si="199"/>
        <v>0</v>
      </c>
      <c r="CL75" s="203">
        <f t="shared" si="186"/>
        <v>12</v>
      </c>
      <c r="CM75" s="4">
        <f>U75*Jahresdaten!$AD$2</f>
        <v>0</v>
      </c>
      <c r="CN75" s="112">
        <f>CJ75*Jahresdaten!$AD$2</f>
        <v>0</v>
      </c>
      <c r="CO75" s="366"/>
      <c r="CP75" s="116">
        <f>U75*Jahresdaten!$AD$3</f>
        <v>0</v>
      </c>
      <c r="CQ75" s="12">
        <f>CJ75*Jahresdaten!$AD$3</f>
        <v>0</v>
      </c>
      <c r="CR75" s="353"/>
      <c r="CS75" s="14"/>
      <c r="CT75" s="136"/>
      <c r="CU75" s="140" t="str">
        <f>IF(CT75=0,"",CT75*'Vergleich Holz Strom'!$B$2)</f>
        <v/>
      </c>
      <c r="CV75" s="353">
        <f>SUM(CJ74:CJ85)</f>
        <v>0</v>
      </c>
      <c r="CW75" s="366"/>
      <c r="CX75" s="345"/>
      <c r="CY75" s="345"/>
      <c r="CZ75" s="345"/>
      <c r="DA75" s="348"/>
      <c r="DB75" s="94"/>
      <c r="DC75" s="88">
        <f t="shared" si="202"/>
        <v>10996.678000000004</v>
      </c>
      <c r="DD75" s="94"/>
      <c r="DE75" s="88">
        <f t="shared" si="205"/>
        <v>-7975.1125469999997</v>
      </c>
      <c r="DF75" s="100" t="e">
        <f ca="1">BE75+(SUM(CS74:CS85)/12)</f>
        <v>#N/A</v>
      </c>
      <c r="DG75" s="351"/>
      <c r="DH75" s="8">
        <f t="shared" ref="DH75:DH85" si="210">DH74+M75+S75+U75</f>
        <v>0</v>
      </c>
      <c r="DI75" s="123">
        <f t="shared" si="137"/>
        <v>3550</v>
      </c>
      <c r="DJ75" s="2">
        <f t="shared" ref="DJ75:DJ85" si="211">DJ74+M75</f>
        <v>0</v>
      </c>
      <c r="DK75" s="127">
        <f>DK85/12*2</f>
        <v>1300</v>
      </c>
      <c r="DL75" s="2">
        <f t="shared" si="114"/>
        <v>650</v>
      </c>
      <c r="DM75" s="130">
        <f t="shared" ref="DM75:DM85" si="212">DM74+S75</f>
        <v>0</v>
      </c>
      <c r="DN75" s="3">
        <f>DN85/12*2</f>
        <v>500</v>
      </c>
      <c r="DO75" s="130">
        <f t="shared" si="116"/>
        <v>250</v>
      </c>
      <c r="DP75" s="4">
        <f t="shared" ref="DP75:DP85" si="213">DP74+U75</f>
        <v>0</v>
      </c>
      <c r="DQ75" s="116">
        <f t="shared" ref="DQ75:DQ84" si="214">DQ74+DR75</f>
        <v>1750</v>
      </c>
      <c r="DR75" s="116">
        <f>DR63</f>
        <v>800</v>
      </c>
    </row>
    <row r="76" spans="1:122" ht="14.25" customHeight="1" thickBot="1" x14ac:dyDescent="0.2">
      <c r="A76" s="416"/>
      <c r="B76" s="16">
        <v>45627</v>
      </c>
      <c r="C76" s="207">
        <f>'PV-Felder'!$I$13</f>
        <v>559.9</v>
      </c>
      <c r="D76" s="351"/>
      <c r="E76" s="61">
        <v>0</v>
      </c>
      <c r="F76" s="351"/>
      <c r="G76" s="56" t="e">
        <f t="shared" ca="1" si="171"/>
        <v>#N/A</v>
      </c>
      <c r="H76" s="351"/>
      <c r="I76" s="61">
        <v>0</v>
      </c>
      <c r="J76" s="351"/>
      <c r="K76" s="61">
        <v>0</v>
      </c>
      <c r="L76" s="351"/>
      <c r="M76" s="65">
        <f t="shared" si="190"/>
        <v>0</v>
      </c>
      <c r="N76" s="373"/>
      <c r="O76" s="288"/>
      <c r="P76" s="288"/>
      <c r="Q76" s="286">
        <f t="shared" si="172"/>
        <v>0</v>
      </c>
      <c r="R76" s="334"/>
      <c r="S76" s="61">
        <v>0</v>
      </c>
      <c r="T76" s="376"/>
      <c r="U76" s="61">
        <v>0</v>
      </c>
      <c r="V76" s="342"/>
      <c r="W76" s="61">
        <v>0</v>
      </c>
      <c r="X76" s="342"/>
      <c r="Y76" s="211" t="e">
        <f t="shared" si="106"/>
        <v>#N/A</v>
      </c>
      <c r="Z76" s="370"/>
      <c r="AA76" s="61">
        <v>0</v>
      </c>
      <c r="AB76" s="351"/>
      <c r="AC76" s="61">
        <v>0</v>
      </c>
      <c r="AD76" s="351"/>
      <c r="AE76" s="73" t="e">
        <f t="shared" si="131"/>
        <v>#N/A</v>
      </c>
      <c r="AF76" s="356"/>
      <c r="AG76" s="73" t="e">
        <f t="shared" si="132"/>
        <v>#N/A</v>
      </c>
      <c r="AH76" s="356"/>
      <c r="AI76" s="221">
        <f t="shared" ref="AI76:AI84" si="215">AI75</f>
        <v>29.26</v>
      </c>
      <c r="AJ76" s="78">
        <f t="shared" ref="AJ76:AN76" si="216">AJ75</f>
        <v>0.26750000000000002</v>
      </c>
      <c r="AK76" s="79">
        <f t="shared" si="216"/>
        <v>9.9166666666666661</v>
      </c>
      <c r="AL76" s="80">
        <f t="shared" si="216"/>
        <v>187</v>
      </c>
      <c r="AM76" s="78">
        <f t="shared" si="216"/>
        <v>9.737942583732058E-2</v>
      </c>
      <c r="AN76" s="80">
        <f t="shared" si="216"/>
        <v>143</v>
      </c>
      <c r="AO76" s="78">
        <f>AO75</f>
        <v>0.21099999999999999</v>
      </c>
      <c r="AP76" s="88">
        <f>AP75</f>
        <v>12</v>
      </c>
      <c r="AQ76" s="64">
        <f t="shared" si="195"/>
        <v>21.5</v>
      </c>
      <c r="AR76" s="64">
        <f t="shared" si="196"/>
        <v>11.5</v>
      </c>
      <c r="AS76" s="88">
        <f t="shared" si="197"/>
        <v>1.1830000000000001</v>
      </c>
      <c r="AT76" s="91">
        <f t="shared" si="89"/>
        <v>283</v>
      </c>
      <c r="AU76" s="94"/>
      <c r="AV76" s="95"/>
      <c r="AW76" s="56">
        <f t="shared" si="174"/>
        <v>0</v>
      </c>
      <c r="AX76" s="351"/>
      <c r="AY76" s="100">
        <f t="shared" si="201"/>
        <v>9.9166666666666661</v>
      </c>
      <c r="AZ76" s="360"/>
      <c r="BA76" s="91">
        <f t="shared" si="209"/>
        <v>-669.02921366666646</v>
      </c>
      <c r="BB76" s="5">
        <f t="shared" si="134"/>
        <v>-9.9166666666666661</v>
      </c>
      <c r="BC76" s="363"/>
      <c r="BD76" s="91" t="e">
        <f t="shared" ca="1" si="175"/>
        <v>#N/A</v>
      </c>
      <c r="BE76" s="91" t="e">
        <f t="shared" ca="1" si="176"/>
        <v>#N/A</v>
      </c>
      <c r="BF76" s="91">
        <f t="shared" si="177"/>
        <v>31.833333333333329</v>
      </c>
      <c r="BG76" s="91" t="e">
        <f t="shared" ca="1" si="178"/>
        <v>#N/A</v>
      </c>
      <c r="BH76" s="91" t="e">
        <f t="shared" ca="1" si="61"/>
        <v>#N/A</v>
      </c>
      <c r="BI76" s="10" t="e">
        <f t="shared" ca="1" si="192"/>
        <v>#N/A</v>
      </c>
      <c r="BJ76" s="104">
        <f>((M76+Q76)*AJ76+AK76)+((U76-W76+W76/('Vergleich Holz Strom'!$B$8-0.6))*AO76+AP76)</f>
        <v>21.916666666666664</v>
      </c>
      <c r="BK76" s="10" t="e">
        <f t="shared" ca="1" si="135"/>
        <v>#N/A</v>
      </c>
      <c r="BL76" s="379"/>
      <c r="BM76" s="104" t="e">
        <f t="shared" ca="1" si="188"/>
        <v>#N/A</v>
      </c>
      <c r="BN76" s="40" t="e">
        <f ca="1">IF(ISNUMBER(BK76),BN75+SUMIF(BK74:BK85,"&lt;&gt;#NV",BK74:BK85)/COUNTIF(BK74:BK85,"&lt;&gt;#NV"),#N/A)</f>
        <v>#N/A</v>
      </c>
      <c r="BO76" s="10" t="e">
        <f t="shared" ca="1" si="204"/>
        <v>#N/A</v>
      </c>
      <c r="BP76" s="104" t="e">
        <f t="shared" ca="1" si="136"/>
        <v>#N/A</v>
      </c>
      <c r="BQ76" s="104">
        <f t="shared" ca="1" si="154"/>
        <v>-61590.302546999912</v>
      </c>
      <c r="BR76" s="10">
        <f t="shared" si="179"/>
        <v>9.9166666666666661</v>
      </c>
      <c r="BS76" s="311"/>
      <c r="BT76" s="307"/>
      <c r="BU76" s="295">
        <f t="shared" si="180"/>
        <v>0</v>
      </c>
      <c r="BV76" s="323"/>
      <c r="BW76" s="299">
        <f t="shared" si="181"/>
        <v>0</v>
      </c>
      <c r="BX76" s="295">
        <f t="shared" si="182"/>
        <v>0</v>
      </c>
      <c r="BY76" s="382"/>
      <c r="BZ76" s="299">
        <f t="shared" si="189"/>
        <v>0</v>
      </c>
      <c r="CA76" s="295">
        <f t="shared" si="193"/>
        <v>0</v>
      </c>
      <c r="CB76" s="323"/>
      <c r="CC76" s="314">
        <f t="shared" si="76"/>
        <v>0</v>
      </c>
      <c r="CD76" s="326"/>
      <c r="CE76" s="299">
        <f t="shared" si="183"/>
        <v>0</v>
      </c>
      <c r="CF76" s="284">
        <f t="shared" si="77"/>
        <v>0</v>
      </c>
      <c r="CG76" s="323"/>
      <c r="CH76" s="302">
        <f t="shared" ref="CH76:CH139" si="217">CH75+CF76</f>
        <v>0</v>
      </c>
      <c r="CI76" s="108">
        <f t="shared" si="184"/>
        <v>0</v>
      </c>
      <c r="CJ76" s="200">
        <f t="shared" si="185"/>
        <v>0</v>
      </c>
      <c r="CK76" s="197">
        <f t="shared" si="199"/>
        <v>0</v>
      </c>
      <c r="CL76" s="203">
        <f t="shared" si="186"/>
        <v>12</v>
      </c>
      <c r="CM76" s="4">
        <f>U76*Jahresdaten!$AD$2</f>
        <v>0</v>
      </c>
      <c r="CN76" s="112">
        <f>CJ76*Jahresdaten!$AD$2</f>
        <v>0</v>
      </c>
      <c r="CO76" s="366"/>
      <c r="CP76" s="116">
        <f>U76*Jahresdaten!$AD$3</f>
        <v>0</v>
      </c>
      <c r="CQ76" s="12">
        <f>CJ76*Jahresdaten!$AD$3</f>
        <v>0</v>
      </c>
      <c r="CR76" s="353"/>
      <c r="CS76" s="14"/>
      <c r="CT76" s="136"/>
      <c r="CU76" s="140" t="str">
        <f>IF(CT76=0,"",CT76*'Vergleich Holz Strom'!$B$2)</f>
        <v/>
      </c>
      <c r="CV76" s="353"/>
      <c r="CW76" s="366"/>
      <c r="CX76" s="345"/>
      <c r="CY76" s="345"/>
      <c r="CZ76" s="345"/>
      <c r="DA76" s="348"/>
      <c r="DB76" s="94"/>
      <c r="DC76" s="88">
        <f t="shared" si="202"/>
        <v>11173.761333333337</v>
      </c>
      <c r="DD76" s="94"/>
      <c r="DE76" s="88">
        <f t="shared" si="205"/>
        <v>-8118.1125469999997</v>
      </c>
      <c r="DF76" s="100" t="e">
        <f ca="1">BE76+(SUM(CS74:CS85)/12)</f>
        <v>#N/A</v>
      </c>
      <c r="DG76" s="351"/>
      <c r="DH76" s="8">
        <f t="shared" si="210"/>
        <v>0</v>
      </c>
      <c r="DI76" s="123">
        <f t="shared" si="137"/>
        <v>5300</v>
      </c>
      <c r="DJ76" s="2">
        <f t="shared" si="211"/>
        <v>0</v>
      </c>
      <c r="DK76" s="127">
        <f>DK85/12*3</f>
        <v>1950</v>
      </c>
      <c r="DL76" s="2">
        <f t="shared" si="114"/>
        <v>650</v>
      </c>
      <c r="DM76" s="130">
        <f t="shared" si="212"/>
        <v>0</v>
      </c>
      <c r="DN76" s="3">
        <f>DN85/12*3</f>
        <v>750</v>
      </c>
      <c r="DO76" s="130">
        <f t="shared" si="116"/>
        <v>250</v>
      </c>
      <c r="DP76" s="4">
        <f t="shared" si="213"/>
        <v>0</v>
      </c>
      <c r="DQ76" s="116">
        <f t="shared" si="214"/>
        <v>2600</v>
      </c>
      <c r="DR76" s="116">
        <f t="shared" ref="DR76:DR84" si="218">DR64</f>
        <v>850.00000000000011</v>
      </c>
    </row>
    <row r="77" spans="1:122" ht="14.25" customHeight="1" thickBot="1" x14ac:dyDescent="0.2">
      <c r="A77" s="416"/>
      <c r="B77" s="16">
        <v>45658</v>
      </c>
      <c r="C77" s="207">
        <f>'PV-Felder'!$I$2</f>
        <v>660.80000000000007</v>
      </c>
      <c r="D77" s="351"/>
      <c r="E77" s="61">
        <v>0</v>
      </c>
      <c r="F77" s="351"/>
      <c r="G77" s="56" t="e">
        <f t="shared" ca="1" si="171"/>
        <v>#N/A</v>
      </c>
      <c r="H77" s="351"/>
      <c r="I77" s="61">
        <v>0</v>
      </c>
      <c r="J77" s="351"/>
      <c r="K77" s="61">
        <v>0</v>
      </c>
      <c r="L77" s="351"/>
      <c r="M77" s="65">
        <f t="shared" si="190"/>
        <v>0</v>
      </c>
      <c r="N77" s="373"/>
      <c r="O77" s="288"/>
      <c r="P77" s="288"/>
      <c r="Q77" s="286">
        <f t="shared" si="172"/>
        <v>0</v>
      </c>
      <c r="R77" s="334"/>
      <c r="S77" s="61">
        <v>0</v>
      </c>
      <c r="T77" s="376"/>
      <c r="U77" s="61">
        <v>0</v>
      </c>
      <c r="V77" s="342"/>
      <c r="W77" s="61">
        <v>0</v>
      </c>
      <c r="X77" s="342"/>
      <c r="Y77" s="211" t="e">
        <f t="shared" si="106"/>
        <v>#N/A</v>
      </c>
      <c r="Z77" s="370"/>
      <c r="AA77" s="61">
        <v>0</v>
      </c>
      <c r="AB77" s="351"/>
      <c r="AC77" s="61">
        <v>0</v>
      </c>
      <c r="AD77" s="351"/>
      <c r="AE77" s="73" t="e">
        <f t="shared" si="131"/>
        <v>#N/A</v>
      </c>
      <c r="AF77" s="356"/>
      <c r="AG77" s="73" t="e">
        <f t="shared" si="132"/>
        <v>#N/A</v>
      </c>
      <c r="AH77" s="356"/>
      <c r="AI77" s="221">
        <f t="shared" si="215"/>
        <v>29.26</v>
      </c>
      <c r="AJ77" s="78">
        <f t="shared" ref="AJ77:AP77" si="219">AJ76</f>
        <v>0.26750000000000002</v>
      </c>
      <c r="AK77" s="79">
        <f t="shared" si="219"/>
        <v>9.9166666666666661</v>
      </c>
      <c r="AL77" s="80">
        <f t="shared" si="219"/>
        <v>187</v>
      </c>
      <c r="AM77" s="78">
        <f t="shared" si="219"/>
        <v>9.737942583732058E-2</v>
      </c>
      <c r="AN77" s="80">
        <f t="shared" si="219"/>
        <v>143</v>
      </c>
      <c r="AO77" s="78">
        <f t="shared" si="219"/>
        <v>0.21099999999999999</v>
      </c>
      <c r="AP77" s="88">
        <f t="shared" si="219"/>
        <v>12</v>
      </c>
      <c r="AQ77" s="64">
        <f t="shared" si="195"/>
        <v>21.5</v>
      </c>
      <c r="AR77" s="64">
        <f t="shared" si="196"/>
        <v>11.5</v>
      </c>
      <c r="AS77" s="88">
        <f t="shared" si="197"/>
        <v>1.1830000000000001</v>
      </c>
      <c r="AT77" s="91">
        <f t="shared" si="89"/>
        <v>283</v>
      </c>
      <c r="AU77" s="94"/>
      <c r="AV77" s="95"/>
      <c r="AW77" s="56">
        <f t="shared" si="174"/>
        <v>0</v>
      </c>
      <c r="AX77" s="351"/>
      <c r="AY77" s="100">
        <f t="shared" si="201"/>
        <v>9.9166666666666661</v>
      </c>
      <c r="AZ77" s="360"/>
      <c r="BA77" s="91">
        <f t="shared" si="209"/>
        <v>-678.94588033333309</v>
      </c>
      <c r="BB77" s="5">
        <f t="shared" si="134"/>
        <v>-9.9166666666666661</v>
      </c>
      <c r="BC77" s="363"/>
      <c r="BD77" s="91" t="e">
        <f t="shared" ca="1" si="175"/>
        <v>#N/A</v>
      </c>
      <c r="BE77" s="91" t="e">
        <f t="shared" ca="1" si="176"/>
        <v>#N/A</v>
      </c>
      <c r="BF77" s="91">
        <f t="shared" si="177"/>
        <v>31.833333333333329</v>
      </c>
      <c r="BG77" s="91" t="e">
        <f t="shared" ca="1" si="178"/>
        <v>#N/A</v>
      </c>
      <c r="BH77" s="91" t="e">
        <f t="shared" ca="1" si="61"/>
        <v>#N/A</v>
      </c>
      <c r="BI77" s="10" t="e">
        <f t="shared" ca="1" si="192"/>
        <v>#N/A</v>
      </c>
      <c r="BJ77" s="104">
        <f>((M77+Q77)*AJ77+AK77)+((U77-W77+W77/('Vergleich Holz Strom'!$B$8-0.6))*AO77+AP77)</f>
        <v>21.916666666666664</v>
      </c>
      <c r="BK77" s="10" t="e">
        <f t="shared" ca="1" si="135"/>
        <v>#N/A</v>
      </c>
      <c r="BL77" s="379"/>
      <c r="BM77" s="104" t="e">
        <f t="shared" ca="1" si="188"/>
        <v>#N/A</v>
      </c>
      <c r="BN77" s="40" t="e">
        <f ca="1">IF(ISNUMBER(BK77),BN76+SUMIF(BK74:BK85,"&lt;&gt;#NV",BK74:BK85)/COUNTIF(BK74:BK85,"&lt;&gt;#NV"),#N/A)</f>
        <v>#N/A</v>
      </c>
      <c r="BO77" s="10" t="e">
        <f t="shared" ca="1" si="204"/>
        <v>#N/A</v>
      </c>
      <c r="BP77" s="104" t="e">
        <f t="shared" ca="1" si="136"/>
        <v>#N/A</v>
      </c>
      <c r="BQ77" s="104">
        <f t="shared" ca="1" si="154"/>
        <v>-61578.302546999912</v>
      </c>
      <c r="BR77" s="10">
        <f t="shared" si="179"/>
        <v>9.9166666666666661</v>
      </c>
      <c r="BS77" s="311"/>
      <c r="BT77" s="307"/>
      <c r="BU77" s="295">
        <f t="shared" si="180"/>
        <v>0</v>
      </c>
      <c r="BV77" s="323"/>
      <c r="BW77" s="299">
        <f t="shared" si="181"/>
        <v>0</v>
      </c>
      <c r="BX77" s="295">
        <f t="shared" si="182"/>
        <v>0</v>
      </c>
      <c r="BY77" s="382"/>
      <c r="BZ77" s="299">
        <f t="shared" si="189"/>
        <v>0</v>
      </c>
      <c r="CA77" s="295">
        <f t="shared" si="193"/>
        <v>0</v>
      </c>
      <c r="CB77" s="323"/>
      <c r="CC77" s="314">
        <f t="shared" si="76"/>
        <v>0</v>
      </c>
      <c r="CD77" s="326"/>
      <c r="CE77" s="299">
        <f t="shared" si="183"/>
        <v>0</v>
      </c>
      <c r="CF77" s="284">
        <f t="shared" si="77"/>
        <v>0</v>
      </c>
      <c r="CG77" s="323"/>
      <c r="CH77" s="302">
        <f t="shared" si="217"/>
        <v>0</v>
      </c>
      <c r="CI77" s="108">
        <f t="shared" si="184"/>
        <v>0</v>
      </c>
      <c r="CJ77" s="200">
        <f t="shared" si="185"/>
        <v>0</v>
      </c>
      <c r="CK77" s="197">
        <f t="shared" si="199"/>
        <v>0</v>
      </c>
      <c r="CL77" s="203">
        <f t="shared" si="186"/>
        <v>12</v>
      </c>
      <c r="CM77" s="4">
        <f>U77*Jahresdaten!$AD$2</f>
        <v>0</v>
      </c>
      <c r="CN77" s="112">
        <f>CJ77*Jahresdaten!$AD$2</f>
        <v>0</v>
      </c>
      <c r="CO77" s="366"/>
      <c r="CP77" s="116">
        <f>U77*Jahresdaten!$AD$3</f>
        <v>0</v>
      </c>
      <c r="CQ77" s="12">
        <f>CJ77*Jahresdaten!$AD$3</f>
        <v>0</v>
      </c>
      <c r="CR77" s="353"/>
      <c r="CS77" s="14"/>
      <c r="CT77" s="136"/>
      <c r="CU77" s="140" t="str">
        <f>IF(CT77=0,"",CT77*'Vergleich Holz Strom'!$B$2)</f>
        <v/>
      </c>
      <c r="CV77" s="353"/>
      <c r="CW77" s="366"/>
      <c r="CX77" s="345"/>
      <c r="CY77" s="345"/>
      <c r="CZ77" s="345"/>
      <c r="DA77" s="348"/>
      <c r="DB77" s="94"/>
      <c r="DC77" s="88">
        <f t="shared" si="202"/>
        <v>11350.844666666671</v>
      </c>
      <c r="DD77" s="94"/>
      <c r="DE77" s="88">
        <f t="shared" si="205"/>
        <v>-8261.1125470000006</v>
      </c>
      <c r="DF77" s="100" t="e">
        <f ca="1">BE77+(SUM(CS74:CS85)/12)</f>
        <v>#N/A</v>
      </c>
      <c r="DG77" s="351"/>
      <c r="DH77" s="8">
        <f t="shared" si="210"/>
        <v>0</v>
      </c>
      <c r="DI77" s="123">
        <f t="shared" si="137"/>
        <v>7350</v>
      </c>
      <c r="DJ77" s="2">
        <f t="shared" si="211"/>
        <v>0</v>
      </c>
      <c r="DK77" s="127">
        <f>DK85/12*4</f>
        <v>2600</v>
      </c>
      <c r="DL77" s="2">
        <f t="shared" si="114"/>
        <v>650</v>
      </c>
      <c r="DM77" s="130">
        <f t="shared" si="212"/>
        <v>0</v>
      </c>
      <c r="DN77" s="3">
        <f>DN85/12*4</f>
        <v>1000</v>
      </c>
      <c r="DO77" s="130">
        <f t="shared" si="116"/>
        <v>250</v>
      </c>
      <c r="DP77" s="4">
        <f t="shared" si="213"/>
        <v>0</v>
      </c>
      <c r="DQ77" s="116">
        <f t="shared" si="214"/>
        <v>3750</v>
      </c>
      <c r="DR77" s="116">
        <f t="shared" si="218"/>
        <v>1150</v>
      </c>
    </row>
    <row r="78" spans="1:122" ht="14.25" customHeight="1" thickBot="1" x14ac:dyDescent="0.2">
      <c r="A78" s="416"/>
      <c r="B78" s="16">
        <v>45689</v>
      </c>
      <c r="C78" s="207">
        <f>'PV-Felder'!$I$3</f>
        <v>922.2</v>
      </c>
      <c r="D78" s="351"/>
      <c r="E78" s="61">
        <v>0</v>
      </c>
      <c r="F78" s="351"/>
      <c r="G78" s="56" t="e">
        <f t="shared" ca="1" si="171"/>
        <v>#N/A</v>
      </c>
      <c r="H78" s="351"/>
      <c r="I78" s="61">
        <v>0</v>
      </c>
      <c r="J78" s="351"/>
      <c r="K78" s="61">
        <v>0</v>
      </c>
      <c r="L78" s="351"/>
      <c r="M78" s="65">
        <f t="shared" si="190"/>
        <v>0</v>
      </c>
      <c r="N78" s="373"/>
      <c r="O78" s="288"/>
      <c r="P78" s="288"/>
      <c r="Q78" s="286">
        <f t="shared" si="172"/>
        <v>0</v>
      </c>
      <c r="R78" s="334"/>
      <c r="S78" s="61">
        <v>0</v>
      </c>
      <c r="T78" s="376"/>
      <c r="U78" s="61">
        <v>0</v>
      </c>
      <c r="V78" s="342"/>
      <c r="W78" s="61">
        <v>0</v>
      </c>
      <c r="X78" s="342"/>
      <c r="Y78" s="211" t="e">
        <f t="shared" si="106"/>
        <v>#N/A</v>
      </c>
      <c r="Z78" s="370"/>
      <c r="AA78" s="61">
        <v>0</v>
      </c>
      <c r="AB78" s="351"/>
      <c r="AC78" s="61">
        <v>0</v>
      </c>
      <c r="AD78" s="351"/>
      <c r="AE78" s="73" t="e">
        <f t="shared" si="131"/>
        <v>#N/A</v>
      </c>
      <c r="AF78" s="356"/>
      <c r="AG78" s="73" t="e">
        <f t="shared" si="132"/>
        <v>#N/A</v>
      </c>
      <c r="AH78" s="356"/>
      <c r="AI78" s="221">
        <f t="shared" si="215"/>
        <v>29.26</v>
      </c>
      <c r="AJ78" s="78">
        <f t="shared" ref="AJ78:AP78" si="220">AJ77</f>
        <v>0.26750000000000002</v>
      </c>
      <c r="AK78" s="79">
        <f t="shared" si="220"/>
        <v>9.9166666666666661</v>
      </c>
      <c r="AL78" s="80">
        <f t="shared" si="220"/>
        <v>187</v>
      </c>
      <c r="AM78" s="78">
        <f t="shared" si="220"/>
        <v>9.737942583732058E-2</v>
      </c>
      <c r="AN78" s="80">
        <f t="shared" si="220"/>
        <v>143</v>
      </c>
      <c r="AO78" s="78">
        <f t="shared" si="220"/>
        <v>0.21099999999999999</v>
      </c>
      <c r="AP78" s="88">
        <f t="shared" si="220"/>
        <v>12</v>
      </c>
      <c r="AQ78" s="64">
        <f t="shared" si="195"/>
        <v>21.5</v>
      </c>
      <c r="AR78" s="64">
        <f t="shared" si="196"/>
        <v>11.5</v>
      </c>
      <c r="AS78" s="88">
        <f t="shared" si="197"/>
        <v>1.1830000000000001</v>
      </c>
      <c r="AT78" s="91">
        <f t="shared" si="89"/>
        <v>283</v>
      </c>
      <c r="AU78" s="94"/>
      <c r="AV78" s="95"/>
      <c r="AW78" s="56">
        <f t="shared" si="174"/>
        <v>0</v>
      </c>
      <c r="AX78" s="351"/>
      <c r="AY78" s="100">
        <f t="shared" si="201"/>
        <v>9.9166666666666661</v>
      </c>
      <c r="AZ78" s="360"/>
      <c r="BA78" s="91">
        <f t="shared" si="209"/>
        <v>-688.86254699999972</v>
      </c>
      <c r="BB78" s="5">
        <f t="shared" si="134"/>
        <v>-9.9166666666666661</v>
      </c>
      <c r="BC78" s="363"/>
      <c r="BD78" s="91" t="e">
        <f t="shared" ca="1" si="175"/>
        <v>#N/A</v>
      </c>
      <c r="BE78" s="91" t="e">
        <f t="shared" ca="1" si="176"/>
        <v>#N/A</v>
      </c>
      <c r="BF78" s="91">
        <f t="shared" si="177"/>
        <v>31.833333333333329</v>
      </c>
      <c r="BG78" s="91" t="e">
        <f t="shared" ca="1" si="178"/>
        <v>#N/A</v>
      </c>
      <c r="BH78" s="91" t="e">
        <f t="shared" ref="BH78:BH141" ca="1" si="221">BF78-BE78</f>
        <v>#N/A</v>
      </c>
      <c r="BI78" s="10" t="e">
        <f t="shared" ca="1" si="192"/>
        <v>#N/A</v>
      </c>
      <c r="BJ78" s="104">
        <f>((M78+Q78)*AJ78+AK78)+((U78-W78+W78/('Vergleich Holz Strom'!$B$8-0.6))*AO78+AP78)</f>
        <v>21.916666666666664</v>
      </c>
      <c r="BK78" s="10" t="e">
        <f t="shared" ca="1" si="135"/>
        <v>#N/A</v>
      </c>
      <c r="BL78" s="379"/>
      <c r="BM78" s="104" t="e">
        <f t="shared" ca="1" si="188"/>
        <v>#N/A</v>
      </c>
      <c r="BN78" s="40" t="e">
        <f ca="1">IF(ISNUMBER(BK78),BN77+SUMIF(BK74:BK85,"&lt;&gt;#NV",BK74:BK85)/COUNTIF(BK74:BK85,"&lt;&gt;#NV"),#N/A)</f>
        <v>#N/A</v>
      </c>
      <c r="BO78" s="10" t="e">
        <f t="shared" ca="1" si="204"/>
        <v>#N/A</v>
      </c>
      <c r="BP78" s="104" t="e">
        <f t="shared" ca="1" si="136"/>
        <v>#N/A</v>
      </c>
      <c r="BQ78" s="104">
        <f t="shared" ca="1" si="154"/>
        <v>-61559.102546999915</v>
      </c>
      <c r="BR78" s="10">
        <f t="shared" si="179"/>
        <v>9.9166666666666661</v>
      </c>
      <c r="BS78" s="311"/>
      <c r="BT78" s="307"/>
      <c r="BU78" s="295">
        <f t="shared" si="180"/>
        <v>0</v>
      </c>
      <c r="BV78" s="323"/>
      <c r="BW78" s="299">
        <f t="shared" si="181"/>
        <v>0</v>
      </c>
      <c r="BX78" s="295">
        <f t="shared" si="182"/>
        <v>0</v>
      </c>
      <c r="BY78" s="382"/>
      <c r="BZ78" s="299">
        <f t="shared" si="189"/>
        <v>0</v>
      </c>
      <c r="CA78" s="295">
        <f t="shared" si="193"/>
        <v>0</v>
      </c>
      <c r="CB78" s="323"/>
      <c r="CC78" s="314">
        <f t="shared" si="76"/>
        <v>0</v>
      </c>
      <c r="CD78" s="326"/>
      <c r="CE78" s="299">
        <f t="shared" si="183"/>
        <v>0</v>
      </c>
      <c r="CF78" s="284">
        <f t="shared" si="77"/>
        <v>0</v>
      </c>
      <c r="CG78" s="323"/>
      <c r="CH78" s="302">
        <f t="shared" si="217"/>
        <v>0</v>
      </c>
      <c r="CI78" s="108">
        <f t="shared" si="184"/>
        <v>0</v>
      </c>
      <c r="CJ78" s="200">
        <f t="shared" si="185"/>
        <v>0</v>
      </c>
      <c r="CK78" s="197">
        <f t="shared" si="199"/>
        <v>0</v>
      </c>
      <c r="CL78" s="203">
        <f t="shared" si="186"/>
        <v>12</v>
      </c>
      <c r="CM78" s="4">
        <f>U78*Jahresdaten!$AD$2</f>
        <v>0</v>
      </c>
      <c r="CN78" s="112">
        <f>CJ78*Jahresdaten!$AD$2</f>
        <v>0</v>
      </c>
      <c r="CO78" s="366"/>
      <c r="CP78" s="116">
        <f>U78*Jahresdaten!$AD$3</f>
        <v>0</v>
      </c>
      <c r="CQ78" s="12">
        <f>CJ78*Jahresdaten!$AD$3</f>
        <v>0</v>
      </c>
      <c r="CR78" s="353"/>
      <c r="CS78" s="14"/>
      <c r="CT78" s="136"/>
      <c r="CU78" s="140" t="str">
        <f>IF(CT78=0,"",CT78*'Vergleich Holz Strom'!$B$2)</f>
        <v/>
      </c>
      <c r="CV78" s="353"/>
      <c r="CW78" s="366"/>
      <c r="CX78" s="345"/>
      <c r="CY78" s="345"/>
      <c r="CZ78" s="345"/>
      <c r="DA78" s="348"/>
      <c r="DB78" s="94"/>
      <c r="DC78" s="88">
        <f t="shared" si="202"/>
        <v>11527.928000000005</v>
      </c>
      <c r="DD78" s="94"/>
      <c r="DE78" s="88">
        <f t="shared" si="205"/>
        <v>-8404.1125470000006</v>
      </c>
      <c r="DF78" s="100" t="e">
        <f ca="1">BE78+(SUM(CS74:CS85)/12)</f>
        <v>#N/A</v>
      </c>
      <c r="DG78" s="351"/>
      <c r="DH78" s="8">
        <f t="shared" si="210"/>
        <v>0</v>
      </c>
      <c r="DI78" s="123">
        <f t="shared" si="137"/>
        <v>9600</v>
      </c>
      <c r="DJ78" s="2">
        <f t="shared" si="211"/>
        <v>0</v>
      </c>
      <c r="DK78" s="127">
        <f>DK85/12*5</f>
        <v>3250</v>
      </c>
      <c r="DL78" s="2">
        <f t="shared" si="114"/>
        <v>650</v>
      </c>
      <c r="DM78" s="130">
        <f t="shared" si="212"/>
        <v>0</v>
      </c>
      <c r="DN78" s="3">
        <f>DN85/12*5</f>
        <v>1250</v>
      </c>
      <c r="DO78" s="130">
        <f t="shared" si="116"/>
        <v>250</v>
      </c>
      <c r="DP78" s="4">
        <f t="shared" si="213"/>
        <v>0</v>
      </c>
      <c r="DQ78" s="116">
        <f t="shared" si="214"/>
        <v>5100</v>
      </c>
      <c r="DR78" s="116">
        <f t="shared" si="218"/>
        <v>1350</v>
      </c>
    </row>
    <row r="79" spans="1:122" ht="14.25" customHeight="1" thickBot="1" x14ac:dyDescent="0.2">
      <c r="A79" s="416"/>
      <c r="B79" s="16">
        <v>45717</v>
      </c>
      <c r="C79" s="207">
        <f>'PV-Felder'!$I$4</f>
        <v>1860</v>
      </c>
      <c r="D79" s="351"/>
      <c r="E79" s="61">
        <v>0</v>
      </c>
      <c r="F79" s="351"/>
      <c r="G79" s="56" t="e">
        <f t="shared" ca="1" si="171"/>
        <v>#N/A</v>
      </c>
      <c r="H79" s="351"/>
      <c r="I79" s="61">
        <v>0</v>
      </c>
      <c r="J79" s="351"/>
      <c r="K79" s="61">
        <v>0</v>
      </c>
      <c r="L79" s="351"/>
      <c r="M79" s="65">
        <f t="shared" si="190"/>
        <v>0</v>
      </c>
      <c r="N79" s="373"/>
      <c r="O79" s="288"/>
      <c r="P79" s="288"/>
      <c r="Q79" s="286">
        <f t="shared" si="172"/>
        <v>0</v>
      </c>
      <c r="R79" s="334"/>
      <c r="S79" s="61">
        <v>0</v>
      </c>
      <c r="T79" s="376"/>
      <c r="U79" s="61">
        <v>0</v>
      </c>
      <c r="V79" s="342"/>
      <c r="W79" s="61">
        <v>0</v>
      </c>
      <c r="X79" s="342"/>
      <c r="Y79" s="211" t="e">
        <f t="shared" si="106"/>
        <v>#N/A</v>
      </c>
      <c r="Z79" s="370"/>
      <c r="AA79" s="61">
        <v>0</v>
      </c>
      <c r="AB79" s="351"/>
      <c r="AC79" s="61">
        <v>0</v>
      </c>
      <c r="AD79" s="351"/>
      <c r="AE79" s="73" t="e">
        <f t="shared" si="131"/>
        <v>#N/A</v>
      </c>
      <c r="AF79" s="356"/>
      <c r="AG79" s="73" t="e">
        <f t="shared" si="132"/>
        <v>#N/A</v>
      </c>
      <c r="AH79" s="356"/>
      <c r="AI79" s="221">
        <f t="shared" si="215"/>
        <v>29.26</v>
      </c>
      <c r="AJ79" s="78">
        <f t="shared" ref="AJ79:AP79" si="222">AJ78</f>
        <v>0.26750000000000002</v>
      </c>
      <c r="AK79" s="79">
        <f t="shared" si="222"/>
        <v>9.9166666666666661</v>
      </c>
      <c r="AL79" s="80">
        <f t="shared" si="222"/>
        <v>187</v>
      </c>
      <c r="AM79" s="78">
        <f t="shared" si="222"/>
        <v>9.737942583732058E-2</v>
      </c>
      <c r="AN79" s="80">
        <f t="shared" si="222"/>
        <v>143</v>
      </c>
      <c r="AO79" s="78">
        <f t="shared" si="222"/>
        <v>0.21099999999999999</v>
      </c>
      <c r="AP79" s="88">
        <f t="shared" si="222"/>
        <v>12</v>
      </c>
      <c r="AQ79" s="64">
        <f t="shared" si="195"/>
        <v>21.5</v>
      </c>
      <c r="AR79" s="64">
        <f t="shared" si="196"/>
        <v>11.5</v>
      </c>
      <c r="AS79" s="88">
        <f t="shared" si="197"/>
        <v>1.1830000000000001</v>
      </c>
      <c r="AT79" s="91">
        <f t="shared" si="89"/>
        <v>283</v>
      </c>
      <c r="AU79" s="94"/>
      <c r="AV79" s="95"/>
      <c r="AW79" s="56">
        <f t="shared" si="174"/>
        <v>0</v>
      </c>
      <c r="AX79" s="351"/>
      <c r="AY79" s="100">
        <f t="shared" si="201"/>
        <v>9.9166666666666661</v>
      </c>
      <c r="AZ79" s="360"/>
      <c r="BA79" s="91">
        <f t="shared" si="209"/>
        <v>-698.77921366666635</v>
      </c>
      <c r="BB79" s="5">
        <f t="shared" si="134"/>
        <v>-9.9166666666666661</v>
      </c>
      <c r="BC79" s="363"/>
      <c r="BD79" s="91" t="e">
        <f t="shared" ca="1" si="175"/>
        <v>#N/A</v>
      </c>
      <c r="BE79" s="91" t="e">
        <f t="shared" ca="1" si="176"/>
        <v>#N/A</v>
      </c>
      <c r="BF79" s="91">
        <f t="shared" si="177"/>
        <v>31.833333333333329</v>
      </c>
      <c r="BG79" s="91" t="e">
        <f t="shared" ca="1" si="178"/>
        <v>#N/A</v>
      </c>
      <c r="BH79" s="91" t="e">
        <f t="shared" ca="1" si="221"/>
        <v>#N/A</v>
      </c>
      <c r="BI79" s="10" t="e">
        <f t="shared" ca="1" si="192"/>
        <v>#N/A</v>
      </c>
      <c r="BJ79" s="104">
        <f>((M79+Q79)*AJ79+AK79)+((U79-W79+W79/('Vergleich Holz Strom'!$B$8-0.6))*AO79+AP79)</f>
        <v>21.916666666666664</v>
      </c>
      <c r="BK79" s="10" t="e">
        <f t="shared" ca="1" si="135"/>
        <v>#N/A</v>
      </c>
      <c r="BL79" s="379"/>
      <c r="BM79" s="104" t="e">
        <f t="shared" ca="1" si="188"/>
        <v>#N/A</v>
      </c>
      <c r="BN79" s="40" t="e">
        <f ca="1">IF(ISNUMBER(BK79),BN78+SUMIF(BK74:BK85,"&lt;&gt;#NV",BK74:BK85)/COUNTIF(BK74:BK85,"&lt;&gt;#NV"),#N/A)</f>
        <v>#N/A</v>
      </c>
      <c r="BO79" s="10" t="e">
        <f t="shared" ca="1" si="204"/>
        <v>#N/A</v>
      </c>
      <c r="BP79" s="104" t="e">
        <f t="shared" ca="1" si="136"/>
        <v>#N/A</v>
      </c>
      <c r="BQ79" s="104">
        <f t="shared" ca="1" si="154"/>
        <v>-61539.902546999918</v>
      </c>
      <c r="BR79" s="10">
        <f t="shared" si="179"/>
        <v>9.9166666666666661</v>
      </c>
      <c r="BS79" s="311"/>
      <c r="BT79" s="307"/>
      <c r="BU79" s="295">
        <f t="shared" si="180"/>
        <v>0</v>
      </c>
      <c r="BV79" s="323"/>
      <c r="BW79" s="299">
        <f t="shared" si="181"/>
        <v>0</v>
      </c>
      <c r="BX79" s="295">
        <f t="shared" si="182"/>
        <v>0</v>
      </c>
      <c r="BY79" s="382"/>
      <c r="BZ79" s="299">
        <f t="shared" si="189"/>
        <v>0</v>
      </c>
      <c r="CA79" s="295">
        <f t="shared" si="193"/>
        <v>0</v>
      </c>
      <c r="CB79" s="323"/>
      <c r="CC79" s="314">
        <f t="shared" si="76"/>
        <v>0</v>
      </c>
      <c r="CD79" s="326"/>
      <c r="CE79" s="299">
        <f t="shared" si="183"/>
        <v>0</v>
      </c>
      <c r="CF79" s="284">
        <f t="shared" si="77"/>
        <v>0</v>
      </c>
      <c r="CG79" s="323"/>
      <c r="CH79" s="302">
        <f t="shared" si="217"/>
        <v>0</v>
      </c>
      <c r="CI79" s="108">
        <f t="shared" si="184"/>
        <v>0</v>
      </c>
      <c r="CJ79" s="200">
        <f t="shared" si="185"/>
        <v>0</v>
      </c>
      <c r="CK79" s="197">
        <f t="shared" si="199"/>
        <v>0</v>
      </c>
      <c r="CL79" s="203">
        <f t="shared" si="186"/>
        <v>12</v>
      </c>
      <c r="CM79" s="4">
        <f>U79*Jahresdaten!$AD$2</f>
        <v>0</v>
      </c>
      <c r="CN79" s="112">
        <f>CJ79*Jahresdaten!$AD$2</f>
        <v>0</v>
      </c>
      <c r="CO79" s="366"/>
      <c r="CP79" s="116">
        <f>U79*Jahresdaten!$AD$3</f>
        <v>0</v>
      </c>
      <c r="CQ79" s="12">
        <f>CJ79*Jahresdaten!$AD$3</f>
        <v>0</v>
      </c>
      <c r="CR79" s="353"/>
      <c r="CS79" s="14"/>
      <c r="CT79" s="136"/>
      <c r="CU79" s="140" t="str">
        <f>IF(CT79=0,"",CT79*'Vergleich Holz Strom'!$B$2)</f>
        <v/>
      </c>
      <c r="CV79" s="353"/>
      <c r="CW79" s="366"/>
      <c r="CX79" s="345"/>
      <c r="CY79" s="345"/>
      <c r="CZ79" s="345"/>
      <c r="DA79" s="348"/>
      <c r="DB79" s="94"/>
      <c r="DC79" s="88">
        <f t="shared" si="202"/>
        <v>11705.011333333339</v>
      </c>
      <c r="DD79" s="94"/>
      <c r="DE79" s="88">
        <f t="shared" si="205"/>
        <v>-8547.1125470000006</v>
      </c>
      <c r="DF79" s="100" t="e">
        <f ca="1">BE79+(SUM(CS74:CS85)/12)</f>
        <v>#N/A</v>
      </c>
      <c r="DG79" s="351"/>
      <c r="DH79" s="8">
        <f t="shared" si="210"/>
        <v>0</v>
      </c>
      <c r="DI79" s="123">
        <f t="shared" si="137"/>
        <v>11850</v>
      </c>
      <c r="DJ79" s="2">
        <f t="shared" si="211"/>
        <v>0</v>
      </c>
      <c r="DK79" s="127">
        <f>DK85/12*6</f>
        <v>3900</v>
      </c>
      <c r="DL79" s="2">
        <f t="shared" si="114"/>
        <v>650</v>
      </c>
      <c r="DM79" s="130">
        <f t="shared" si="212"/>
        <v>0</v>
      </c>
      <c r="DN79" s="3">
        <f>DN85/12*6</f>
        <v>1500</v>
      </c>
      <c r="DO79" s="130">
        <f t="shared" si="116"/>
        <v>250</v>
      </c>
      <c r="DP79" s="4">
        <f t="shared" si="213"/>
        <v>0</v>
      </c>
      <c r="DQ79" s="116">
        <f t="shared" si="214"/>
        <v>6450</v>
      </c>
      <c r="DR79" s="116">
        <f t="shared" si="218"/>
        <v>1350</v>
      </c>
    </row>
    <row r="80" spans="1:122" ht="15" customHeight="1" thickBot="1" x14ac:dyDescent="0.2">
      <c r="A80" s="416"/>
      <c r="B80" s="16">
        <v>45748</v>
      </c>
      <c r="C80" s="207">
        <f>'PV-Felder'!$I$5</f>
        <v>2887.3</v>
      </c>
      <c r="D80" s="351"/>
      <c r="E80" s="61">
        <v>0</v>
      </c>
      <c r="F80" s="351"/>
      <c r="G80" s="56" t="e">
        <f t="shared" ca="1" si="171"/>
        <v>#N/A</v>
      </c>
      <c r="H80" s="351"/>
      <c r="I80" s="61">
        <v>0</v>
      </c>
      <c r="J80" s="351"/>
      <c r="K80" s="61">
        <v>0</v>
      </c>
      <c r="L80" s="351"/>
      <c r="M80" s="65">
        <f t="shared" si="190"/>
        <v>0</v>
      </c>
      <c r="N80" s="373"/>
      <c r="O80" s="288"/>
      <c r="P80" s="288"/>
      <c r="Q80" s="286">
        <f t="shared" si="172"/>
        <v>0</v>
      </c>
      <c r="R80" s="334"/>
      <c r="S80" s="61">
        <v>0</v>
      </c>
      <c r="T80" s="376"/>
      <c r="U80" s="61">
        <v>0</v>
      </c>
      <c r="V80" s="342"/>
      <c r="W80" s="61">
        <v>0</v>
      </c>
      <c r="X80" s="342"/>
      <c r="Y80" s="211" t="e">
        <f t="shared" si="106"/>
        <v>#N/A</v>
      </c>
      <c r="Z80" s="370"/>
      <c r="AA80" s="61">
        <v>0</v>
      </c>
      <c r="AB80" s="351"/>
      <c r="AC80" s="61">
        <v>0</v>
      </c>
      <c r="AD80" s="351"/>
      <c r="AE80" s="73" t="e">
        <f t="shared" si="131"/>
        <v>#N/A</v>
      </c>
      <c r="AF80" s="356"/>
      <c r="AG80" s="73" t="e">
        <f t="shared" si="132"/>
        <v>#N/A</v>
      </c>
      <c r="AH80" s="356"/>
      <c r="AI80" s="221">
        <f t="shared" si="215"/>
        <v>29.26</v>
      </c>
      <c r="AJ80" s="78">
        <f t="shared" ref="AJ80:AP80" si="223">AJ79</f>
        <v>0.26750000000000002</v>
      </c>
      <c r="AK80" s="79">
        <f t="shared" si="223"/>
        <v>9.9166666666666661</v>
      </c>
      <c r="AL80" s="80">
        <f t="shared" si="223"/>
        <v>187</v>
      </c>
      <c r="AM80" s="78">
        <f t="shared" si="223"/>
        <v>9.737942583732058E-2</v>
      </c>
      <c r="AN80" s="80">
        <f t="shared" si="223"/>
        <v>143</v>
      </c>
      <c r="AO80" s="78">
        <f t="shared" si="223"/>
        <v>0.21099999999999999</v>
      </c>
      <c r="AP80" s="88">
        <f t="shared" si="223"/>
        <v>12</v>
      </c>
      <c r="AQ80" s="64">
        <f t="shared" si="195"/>
        <v>21.5</v>
      </c>
      <c r="AR80" s="64">
        <f t="shared" si="196"/>
        <v>11.5</v>
      </c>
      <c r="AS80" s="88">
        <f t="shared" si="197"/>
        <v>1.1830000000000001</v>
      </c>
      <c r="AT80" s="91">
        <f t="shared" si="89"/>
        <v>283</v>
      </c>
      <c r="AU80" s="94"/>
      <c r="AV80" s="95"/>
      <c r="AW80" s="56">
        <f t="shared" si="174"/>
        <v>0</v>
      </c>
      <c r="AX80" s="351"/>
      <c r="AY80" s="100">
        <f t="shared" si="201"/>
        <v>9.9166666666666661</v>
      </c>
      <c r="AZ80" s="360"/>
      <c r="BA80" s="91">
        <f t="shared" si="209"/>
        <v>-708.69588033333298</v>
      </c>
      <c r="BB80" s="5">
        <f t="shared" si="134"/>
        <v>-9.9166666666666661</v>
      </c>
      <c r="BC80" s="363"/>
      <c r="BD80" s="91" t="e">
        <f t="shared" ca="1" si="175"/>
        <v>#N/A</v>
      </c>
      <c r="BE80" s="91" t="e">
        <f t="shared" ca="1" si="176"/>
        <v>#N/A</v>
      </c>
      <c r="BF80" s="91">
        <f t="shared" si="177"/>
        <v>31.833333333333329</v>
      </c>
      <c r="BG80" s="91" t="e">
        <f t="shared" ca="1" si="178"/>
        <v>#N/A</v>
      </c>
      <c r="BH80" s="91" t="e">
        <f t="shared" ca="1" si="221"/>
        <v>#N/A</v>
      </c>
      <c r="BI80" s="10" t="e">
        <f t="shared" ca="1" si="192"/>
        <v>#N/A</v>
      </c>
      <c r="BJ80" s="104">
        <f>((M80+Q80)*AJ80+AK80)+((U80-W80+W80/('Vergleich Holz Strom'!$B$8-0.6))*AO80+AP80)</f>
        <v>21.916666666666664</v>
      </c>
      <c r="BK80" s="10" t="e">
        <f t="shared" ca="1" si="135"/>
        <v>#N/A</v>
      </c>
      <c r="BL80" s="379"/>
      <c r="BM80" s="104" t="e">
        <f t="shared" ca="1" si="188"/>
        <v>#N/A</v>
      </c>
      <c r="BN80" s="40" t="e">
        <f ca="1">IF(ISNUMBER(BK80),BN79+SUMIF(BK74:BK85,"&lt;&gt;#NV",BK74:BK85)/COUNTIF(BK74:BK85,"&lt;&gt;#NV"),#N/A)</f>
        <v>#N/A</v>
      </c>
      <c r="BO80" s="10" t="e">
        <f t="shared" ca="1" si="204"/>
        <v>#N/A</v>
      </c>
      <c r="BP80" s="104" t="e">
        <f t="shared" ca="1" si="136"/>
        <v>#N/A</v>
      </c>
      <c r="BQ80" s="104">
        <f t="shared" ca="1" si="154"/>
        <v>-61520.702546999892</v>
      </c>
      <c r="BR80" s="10">
        <f t="shared" si="179"/>
        <v>9.9166666666666661</v>
      </c>
      <c r="BS80" s="311"/>
      <c r="BT80" s="307"/>
      <c r="BU80" s="295">
        <f t="shared" si="180"/>
        <v>0</v>
      </c>
      <c r="BV80" s="323"/>
      <c r="BW80" s="299">
        <f t="shared" si="181"/>
        <v>0</v>
      </c>
      <c r="BX80" s="295">
        <f t="shared" si="182"/>
        <v>0</v>
      </c>
      <c r="BY80" s="382"/>
      <c r="BZ80" s="299">
        <f t="shared" si="189"/>
        <v>0</v>
      </c>
      <c r="CA80" s="295">
        <f t="shared" si="193"/>
        <v>0</v>
      </c>
      <c r="CB80" s="323"/>
      <c r="CC80" s="314">
        <f t="shared" ref="CC80:CC86" si="224">Q80/AQ80*100+BS80/AQ80*100</f>
        <v>0</v>
      </c>
      <c r="CD80" s="326"/>
      <c r="CE80" s="299">
        <f t="shared" si="183"/>
        <v>0</v>
      </c>
      <c r="CF80" s="284">
        <f t="shared" ref="CF80:CF86" si="225">CE80-CA80</f>
        <v>0</v>
      </c>
      <c r="CG80" s="323"/>
      <c r="CH80" s="302">
        <f t="shared" si="217"/>
        <v>0</v>
      </c>
      <c r="CI80" s="108">
        <f t="shared" si="184"/>
        <v>0</v>
      </c>
      <c r="CJ80" s="200">
        <f t="shared" si="185"/>
        <v>0</v>
      </c>
      <c r="CK80" s="197">
        <f t="shared" si="199"/>
        <v>0</v>
      </c>
      <c r="CL80" s="203">
        <f t="shared" si="186"/>
        <v>12</v>
      </c>
      <c r="CM80" s="4">
        <f>U80*Jahresdaten!$AD$2</f>
        <v>0</v>
      </c>
      <c r="CN80" s="112">
        <f>CJ80*Jahresdaten!$AD$2</f>
        <v>0</v>
      </c>
      <c r="CO80" s="366"/>
      <c r="CP80" s="116">
        <f>U80*Jahresdaten!$AD$3</f>
        <v>0</v>
      </c>
      <c r="CQ80" s="12">
        <f>CJ80*Jahresdaten!$AD$3</f>
        <v>0</v>
      </c>
      <c r="CR80" s="353"/>
      <c r="CS80" s="14"/>
      <c r="CT80" s="136"/>
      <c r="CU80" s="140" t="str">
        <f>IF(CT80=0,"",CT80*'Vergleich Holz Strom'!$B$2)</f>
        <v/>
      </c>
      <c r="CV80" s="121" t="s">
        <v>6</v>
      </c>
      <c r="CW80" s="366"/>
      <c r="CX80" s="345"/>
      <c r="CY80" s="345"/>
      <c r="CZ80" s="345"/>
      <c r="DA80" s="348"/>
      <c r="DB80" s="94"/>
      <c r="DC80" s="88">
        <f t="shared" si="202"/>
        <v>11882.094666666673</v>
      </c>
      <c r="DD80" s="94"/>
      <c r="DE80" s="88">
        <f t="shared" si="205"/>
        <v>-8690.1125470000006</v>
      </c>
      <c r="DF80" s="100" t="e">
        <f ca="1">BE80+(SUM(CS74:CS85)/12)</f>
        <v>#N/A</v>
      </c>
      <c r="DG80" s="351"/>
      <c r="DH80" s="8">
        <f t="shared" si="210"/>
        <v>0</v>
      </c>
      <c r="DI80" s="123">
        <f t="shared" si="137"/>
        <v>14000</v>
      </c>
      <c r="DJ80" s="2">
        <f t="shared" si="211"/>
        <v>0</v>
      </c>
      <c r="DK80" s="127">
        <f>DK85/12*7</f>
        <v>4550</v>
      </c>
      <c r="DL80" s="2">
        <f t="shared" si="114"/>
        <v>650</v>
      </c>
      <c r="DM80" s="130">
        <f t="shared" si="212"/>
        <v>0</v>
      </c>
      <c r="DN80" s="3">
        <f>DN85/12*7</f>
        <v>1750</v>
      </c>
      <c r="DO80" s="130">
        <f t="shared" si="116"/>
        <v>250</v>
      </c>
      <c r="DP80" s="4">
        <f t="shared" si="213"/>
        <v>0</v>
      </c>
      <c r="DQ80" s="116">
        <f t="shared" si="214"/>
        <v>7700</v>
      </c>
      <c r="DR80" s="116">
        <f t="shared" si="218"/>
        <v>1250</v>
      </c>
    </row>
    <row r="81" spans="1:122" ht="14.25" customHeight="1" thickBot="1" x14ac:dyDescent="0.2">
      <c r="A81" s="416"/>
      <c r="B81" s="16">
        <v>45778</v>
      </c>
      <c r="C81" s="207">
        <f>'PV-Felder'!$I$6</f>
        <v>3391.3999999999996</v>
      </c>
      <c r="D81" s="351"/>
      <c r="E81" s="61">
        <v>0</v>
      </c>
      <c r="F81" s="351"/>
      <c r="G81" s="56" t="e">
        <f t="shared" ca="1" si="171"/>
        <v>#N/A</v>
      </c>
      <c r="H81" s="351"/>
      <c r="I81" s="61">
        <v>0</v>
      </c>
      <c r="J81" s="351"/>
      <c r="K81" s="61">
        <v>0</v>
      </c>
      <c r="L81" s="351"/>
      <c r="M81" s="65">
        <f t="shared" si="190"/>
        <v>0</v>
      </c>
      <c r="N81" s="373"/>
      <c r="O81" s="288"/>
      <c r="P81" s="288"/>
      <c r="Q81" s="286">
        <f t="shared" si="172"/>
        <v>0</v>
      </c>
      <c r="R81" s="334"/>
      <c r="S81" s="61">
        <v>0</v>
      </c>
      <c r="T81" s="376"/>
      <c r="U81" s="61">
        <v>0</v>
      </c>
      <c r="V81" s="342"/>
      <c r="W81" s="61">
        <v>0</v>
      </c>
      <c r="X81" s="342"/>
      <c r="Y81" s="211" t="e">
        <f t="shared" si="106"/>
        <v>#N/A</v>
      </c>
      <c r="Z81" s="370"/>
      <c r="AA81" s="61">
        <v>0</v>
      </c>
      <c r="AB81" s="351"/>
      <c r="AC81" s="61">
        <v>0</v>
      </c>
      <c r="AD81" s="351"/>
      <c r="AE81" s="73" t="e">
        <f t="shared" si="131"/>
        <v>#N/A</v>
      </c>
      <c r="AF81" s="356"/>
      <c r="AG81" s="73" t="e">
        <f t="shared" si="132"/>
        <v>#N/A</v>
      </c>
      <c r="AH81" s="356"/>
      <c r="AI81" s="221">
        <f t="shared" si="215"/>
        <v>29.26</v>
      </c>
      <c r="AJ81" s="78">
        <f t="shared" ref="AJ81:AP81" si="226">AJ80</f>
        <v>0.26750000000000002</v>
      </c>
      <c r="AK81" s="79">
        <f t="shared" si="226"/>
        <v>9.9166666666666661</v>
      </c>
      <c r="AL81" s="80">
        <f t="shared" si="226"/>
        <v>187</v>
      </c>
      <c r="AM81" s="78">
        <f t="shared" si="226"/>
        <v>9.737942583732058E-2</v>
      </c>
      <c r="AN81" s="80">
        <f t="shared" si="226"/>
        <v>143</v>
      </c>
      <c r="AO81" s="78">
        <f t="shared" si="226"/>
        <v>0.21099999999999999</v>
      </c>
      <c r="AP81" s="88">
        <f t="shared" si="226"/>
        <v>12</v>
      </c>
      <c r="AQ81" s="64">
        <f t="shared" si="195"/>
        <v>21.5</v>
      </c>
      <c r="AR81" s="64">
        <f t="shared" si="196"/>
        <v>11.5</v>
      </c>
      <c r="AS81" s="88">
        <f t="shared" si="197"/>
        <v>1.1830000000000001</v>
      </c>
      <c r="AT81" s="91">
        <f t="shared" si="89"/>
        <v>283</v>
      </c>
      <c r="AU81" s="94"/>
      <c r="AV81" s="95"/>
      <c r="AW81" s="56">
        <f t="shared" si="174"/>
        <v>0</v>
      </c>
      <c r="AX81" s="351"/>
      <c r="AY81" s="100">
        <f t="shared" si="201"/>
        <v>9.9166666666666661</v>
      </c>
      <c r="AZ81" s="360"/>
      <c r="BA81" s="91">
        <f t="shared" si="209"/>
        <v>-718.61254699999961</v>
      </c>
      <c r="BB81" s="5">
        <f t="shared" si="134"/>
        <v>-9.9166666666666661</v>
      </c>
      <c r="BC81" s="363"/>
      <c r="BD81" s="91" t="e">
        <f t="shared" ca="1" si="175"/>
        <v>#N/A</v>
      </c>
      <c r="BE81" s="91" t="e">
        <f t="shared" ca="1" si="176"/>
        <v>#N/A</v>
      </c>
      <c r="BF81" s="91">
        <f t="shared" si="177"/>
        <v>31.833333333333329</v>
      </c>
      <c r="BG81" s="91" t="e">
        <f t="shared" ca="1" si="178"/>
        <v>#N/A</v>
      </c>
      <c r="BH81" s="91" t="e">
        <f t="shared" ca="1" si="221"/>
        <v>#N/A</v>
      </c>
      <c r="BI81" s="10" t="e">
        <f t="shared" ca="1" si="192"/>
        <v>#N/A</v>
      </c>
      <c r="BJ81" s="104">
        <f>((M81+Q81)*AJ81+AK81)+((U81-W81+W81/('Vergleich Holz Strom'!$B$8-0.6))*AO81+AP81)</f>
        <v>21.916666666666664</v>
      </c>
      <c r="BK81" s="10" t="e">
        <f t="shared" ca="1" si="135"/>
        <v>#N/A</v>
      </c>
      <c r="BL81" s="379"/>
      <c r="BM81" s="104" t="e">
        <f t="shared" ca="1" si="188"/>
        <v>#N/A</v>
      </c>
      <c r="BN81" s="40" t="e">
        <f ca="1">IF(ISNUMBER(BK81),BN80+SUMIF(BK74:BK85,"&lt;&gt;#NV",BK74:BK85)/COUNTIF(BK74:BK85,"&lt;&gt;#NV"),#N/A)</f>
        <v>#N/A</v>
      </c>
      <c r="BO81" s="10" t="e">
        <f t="shared" ca="1" si="204"/>
        <v>#N/A</v>
      </c>
      <c r="BP81" s="104" t="e">
        <f t="shared" ca="1" si="136"/>
        <v>#N/A</v>
      </c>
      <c r="BQ81" s="104">
        <f t="shared" ca="1" si="154"/>
        <v>-61501.50254699988</v>
      </c>
      <c r="BR81" s="10">
        <f t="shared" si="179"/>
        <v>9.9166666666666661</v>
      </c>
      <c r="BS81" s="311"/>
      <c r="BT81" s="307"/>
      <c r="BU81" s="295">
        <f t="shared" si="180"/>
        <v>0</v>
      </c>
      <c r="BV81" s="323"/>
      <c r="BW81" s="299">
        <f t="shared" si="181"/>
        <v>0</v>
      </c>
      <c r="BX81" s="295">
        <f t="shared" si="182"/>
        <v>0</v>
      </c>
      <c r="BY81" s="382"/>
      <c r="BZ81" s="299">
        <f t="shared" si="189"/>
        <v>0</v>
      </c>
      <c r="CA81" s="295">
        <f t="shared" si="193"/>
        <v>0</v>
      </c>
      <c r="CB81" s="323"/>
      <c r="CC81" s="314">
        <f t="shared" si="224"/>
        <v>0</v>
      </c>
      <c r="CD81" s="326"/>
      <c r="CE81" s="299">
        <f t="shared" si="183"/>
        <v>0</v>
      </c>
      <c r="CF81" s="284">
        <f t="shared" si="225"/>
        <v>0</v>
      </c>
      <c r="CG81" s="323"/>
      <c r="CH81" s="302">
        <f t="shared" si="217"/>
        <v>0</v>
      </c>
      <c r="CI81" s="108">
        <f t="shared" si="184"/>
        <v>0</v>
      </c>
      <c r="CJ81" s="200">
        <f t="shared" si="185"/>
        <v>0</v>
      </c>
      <c r="CK81" s="197">
        <f t="shared" si="199"/>
        <v>0</v>
      </c>
      <c r="CL81" s="203">
        <f t="shared" si="186"/>
        <v>12</v>
      </c>
      <c r="CM81" s="4">
        <f>U81*Jahresdaten!$AD$2</f>
        <v>0</v>
      </c>
      <c r="CN81" s="112">
        <f>CJ81*Jahresdaten!$AD$2</f>
        <v>0</v>
      </c>
      <c r="CO81" s="366"/>
      <c r="CP81" s="116">
        <f>U81*Jahresdaten!$AD$3</f>
        <v>0</v>
      </c>
      <c r="CQ81" s="12">
        <f>CJ81*Jahresdaten!$AD$3</f>
        <v>0</v>
      </c>
      <c r="CR81" s="353"/>
      <c r="CS81" s="14"/>
      <c r="CT81" s="136"/>
      <c r="CU81" s="140" t="str">
        <f>IF(CT81=0,"",CT81*'Vergleich Holz Strom'!$B$2)</f>
        <v/>
      </c>
      <c r="CV81" s="353">
        <f>SUM(CS74:CS85)</f>
        <v>1169</v>
      </c>
      <c r="CW81" s="366"/>
      <c r="CX81" s="345"/>
      <c r="CY81" s="345"/>
      <c r="CZ81" s="345"/>
      <c r="DA81" s="348"/>
      <c r="DB81" s="94"/>
      <c r="DC81" s="88">
        <f t="shared" si="202"/>
        <v>12059.178000000007</v>
      </c>
      <c r="DD81" s="94"/>
      <c r="DE81" s="88">
        <f t="shared" si="205"/>
        <v>-8833.1125470000006</v>
      </c>
      <c r="DF81" s="100" t="e">
        <f ca="1">BE81+(SUM(CS74:CS85)/12)</f>
        <v>#N/A</v>
      </c>
      <c r="DG81" s="351"/>
      <c r="DH81" s="8">
        <f t="shared" si="210"/>
        <v>0</v>
      </c>
      <c r="DI81" s="123">
        <f t="shared" si="137"/>
        <v>16000</v>
      </c>
      <c r="DJ81" s="2">
        <f t="shared" si="211"/>
        <v>0</v>
      </c>
      <c r="DK81" s="127">
        <f>DK85/12*8</f>
        <v>5200</v>
      </c>
      <c r="DL81" s="2">
        <f t="shared" si="114"/>
        <v>650</v>
      </c>
      <c r="DM81" s="130">
        <f t="shared" si="212"/>
        <v>0</v>
      </c>
      <c r="DN81" s="3">
        <f>DN85/12*8</f>
        <v>2000</v>
      </c>
      <c r="DO81" s="130">
        <f t="shared" si="116"/>
        <v>250</v>
      </c>
      <c r="DP81" s="4">
        <f t="shared" si="213"/>
        <v>0</v>
      </c>
      <c r="DQ81" s="116">
        <f t="shared" si="214"/>
        <v>8800</v>
      </c>
      <c r="DR81" s="116">
        <f t="shared" si="218"/>
        <v>1100</v>
      </c>
    </row>
    <row r="82" spans="1:122" ht="14.25" customHeight="1" thickBot="1" x14ac:dyDescent="0.2">
      <c r="A82" s="416"/>
      <c r="B82" s="16">
        <v>45809</v>
      </c>
      <c r="C82" s="207">
        <f>'PV-Felder'!$I$7</f>
        <v>3595.6000000000004</v>
      </c>
      <c r="D82" s="351"/>
      <c r="E82" s="61">
        <v>0</v>
      </c>
      <c r="F82" s="351"/>
      <c r="G82" s="56" t="e">
        <f t="shared" ca="1" si="171"/>
        <v>#N/A</v>
      </c>
      <c r="H82" s="351"/>
      <c r="I82" s="61">
        <v>0</v>
      </c>
      <c r="J82" s="351"/>
      <c r="K82" s="61">
        <v>0</v>
      </c>
      <c r="L82" s="351"/>
      <c r="M82" s="65">
        <f t="shared" si="190"/>
        <v>0</v>
      </c>
      <c r="N82" s="373"/>
      <c r="O82" s="288"/>
      <c r="P82" s="288"/>
      <c r="Q82" s="286">
        <f t="shared" si="172"/>
        <v>0</v>
      </c>
      <c r="R82" s="334"/>
      <c r="S82" s="61">
        <v>0</v>
      </c>
      <c r="T82" s="376"/>
      <c r="U82" s="61">
        <v>0</v>
      </c>
      <c r="V82" s="342"/>
      <c r="W82" s="61">
        <v>0</v>
      </c>
      <c r="X82" s="342"/>
      <c r="Y82" s="211" t="e">
        <f t="shared" si="106"/>
        <v>#N/A</v>
      </c>
      <c r="Z82" s="370"/>
      <c r="AA82" s="61">
        <v>0</v>
      </c>
      <c r="AB82" s="351"/>
      <c r="AC82" s="61">
        <v>0</v>
      </c>
      <c r="AD82" s="351"/>
      <c r="AE82" s="73" t="e">
        <f t="shared" si="131"/>
        <v>#N/A</v>
      </c>
      <c r="AF82" s="356"/>
      <c r="AG82" s="73" t="e">
        <f t="shared" si="132"/>
        <v>#N/A</v>
      </c>
      <c r="AH82" s="356"/>
      <c r="AI82" s="221">
        <f t="shared" si="215"/>
        <v>29.26</v>
      </c>
      <c r="AJ82" s="78">
        <f t="shared" ref="AJ82:AP82" si="227">AJ81</f>
        <v>0.26750000000000002</v>
      </c>
      <c r="AK82" s="79">
        <f t="shared" si="227"/>
        <v>9.9166666666666661</v>
      </c>
      <c r="AL82" s="80">
        <f t="shared" si="227"/>
        <v>187</v>
      </c>
      <c r="AM82" s="78">
        <f t="shared" si="227"/>
        <v>9.737942583732058E-2</v>
      </c>
      <c r="AN82" s="80">
        <f t="shared" si="227"/>
        <v>143</v>
      </c>
      <c r="AO82" s="78">
        <f t="shared" si="227"/>
        <v>0.21099999999999999</v>
      </c>
      <c r="AP82" s="88">
        <f t="shared" si="227"/>
        <v>12</v>
      </c>
      <c r="AQ82" s="64">
        <f t="shared" si="195"/>
        <v>21.5</v>
      </c>
      <c r="AR82" s="64">
        <f t="shared" si="196"/>
        <v>11.5</v>
      </c>
      <c r="AS82" s="88">
        <f t="shared" si="197"/>
        <v>1.1830000000000001</v>
      </c>
      <c r="AT82" s="91">
        <f t="shared" si="89"/>
        <v>283</v>
      </c>
      <c r="AU82" s="94"/>
      <c r="AV82" s="95"/>
      <c r="AW82" s="56">
        <f t="shared" si="174"/>
        <v>0</v>
      </c>
      <c r="AX82" s="351"/>
      <c r="AY82" s="100">
        <f t="shared" si="201"/>
        <v>9.9166666666666661</v>
      </c>
      <c r="AZ82" s="360"/>
      <c r="BA82" s="91">
        <f t="shared" si="209"/>
        <v>-728.52921366666624</v>
      </c>
      <c r="BB82" s="5">
        <f t="shared" si="134"/>
        <v>-9.9166666666666661</v>
      </c>
      <c r="BC82" s="363"/>
      <c r="BD82" s="91" t="e">
        <f t="shared" ca="1" si="175"/>
        <v>#N/A</v>
      </c>
      <c r="BE82" s="91" t="e">
        <f t="shared" ca="1" si="176"/>
        <v>#N/A</v>
      </c>
      <c r="BF82" s="91">
        <f t="shared" si="177"/>
        <v>31.833333333333329</v>
      </c>
      <c r="BG82" s="91" t="e">
        <f t="shared" ca="1" si="178"/>
        <v>#N/A</v>
      </c>
      <c r="BH82" s="91" t="e">
        <f t="shared" ca="1" si="221"/>
        <v>#N/A</v>
      </c>
      <c r="BI82" s="10" t="e">
        <f t="shared" ca="1" si="192"/>
        <v>#N/A</v>
      </c>
      <c r="BJ82" s="104">
        <f>((M82+Q82)*AJ82+AK82)+((U82-W82+W82/('Vergleich Holz Strom'!$B$8-0.6))*AO82+AP82)</f>
        <v>21.916666666666664</v>
      </c>
      <c r="BK82" s="10" t="e">
        <f t="shared" ca="1" si="135"/>
        <v>#N/A</v>
      </c>
      <c r="BL82" s="379"/>
      <c r="BM82" s="104" t="e">
        <f t="shared" ca="1" si="188"/>
        <v>#N/A</v>
      </c>
      <c r="BN82" s="40" t="e">
        <f ca="1">IF(ISNUMBER(BK82),BN81+SUMIF(BK74:BK85,"&lt;&gt;#NV",BK74:BK85)/COUNTIF(BK74:BK85,"&lt;&gt;#NV"),#N/A)</f>
        <v>#N/A</v>
      </c>
      <c r="BO82" s="10" t="e">
        <f t="shared" ca="1" si="204"/>
        <v>#N/A</v>
      </c>
      <c r="BP82" s="104" t="e">
        <f t="shared" ca="1" si="136"/>
        <v>#N/A</v>
      </c>
      <c r="BQ82" s="104">
        <f t="shared" ca="1" si="154"/>
        <v>-61485.50254699988</v>
      </c>
      <c r="BR82" s="10">
        <f t="shared" si="179"/>
        <v>9.9166666666666661</v>
      </c>
      <c r="BS82" s="311"/>
      <c r="BT82" s="307"/>
      <c r="BU82" s="295">
        <f t="shared" si="180"/>
        <v>0</v>
      </c>
      <c r="BV82" s="323"/>
      <c r="BW82" s="299">
        <f t="shared" si="181"/>
        <v>0</v>
      </c>
      <c r="BX82" s="295">
        <f t="shared" si="182"/>
        <v>0</v>
      </c>
      <c r="BY82" s="382"/>
      <c r="BZ82" s="299">
        <f t="shared" si="189"/>
        <v>0</v>
      </c>
      <c r="CA82" s="295">
        <f t="shared" si="193"/>
        <v>0</v>
      </c>
      <c r="CB82" s="323"/>
      <c r="CC82" s="314">
        <f t="shared" si="224"/>
        <v>0</v>
      </c>
      <c r="CD82" s="326"/>
      <c r="CE82" s="299">
        <f t="shared" si="183"/>
        <v>0</v>
      </c>
      <c r="CF82" s="284">
        <f t="shared" si="225"/>
        <v>0</v>
      </c>
      <c r="CG82" s="323"/>
      <c r="CH82" s="302">
        <f t="shared" si="217"/>
        <v>0</v>
      </c>
      <c r="CI82" s="108">
        <f t="shared" si="184"/>
        <v>0</v>
      </c>
      <c r="CJ82" s="200">
        <f t="shared" si="185"/>
        <v>0</v>
      </c>
      <c r="CK82" s="197">
        <f t="shared" si="199"/>
        <v>0</v>
      </c>
      <c r="CL82" s="203">
        <f t="shared" si="186"/>
        <v>12</v>
      </c>
      <c r="CM82" s="4">
        <f>U82*Jahresdaten!$AD$2</f>
        <v>0</v>
      </c>
      <c r="CN82" s="112">
        <f>CJ82*Jahresdaten!$AD$2</f>
        <v>0</v>
      </c>
      <c r="CO82" s="366"/>
      <c r="CP82" s="116">
        <f>U82*Jahresdaten!$AD$3</f>
        <v>0</v>
      </c>
      <c r="CQ82" s="12">
        <f>CJ82*Jahresdaten!$AD$3</f>
        <v>0</v>
      </c>
      <c r="CR82" s="353"/>
      <c r="CS82" s="14"/>
      <c r="CT82" s="136"/>
      <c r="CU82" s="140" t="str">
        <f>IF(CT82=0,"",CT82*'Vergleich Holz Strom'!$B$2)</f>
        <v/>
      </c>
      <c r="CV82" s="353"/>
      <c r="CW82" s="366"/>
      <c r="CX82" s="345"/>
      <c r="CY82" s="345"/>
      <c r="CZ82" s="345"/>
      <c r="DA82" s="348"/>
      <c r="DB82" s="94"/>
      <c r="DC82" s="88">
        <f t="shared" si="202"/>
        <v>12236.261333333341</v>
      </c>
      <c r="DD82" s="94"/>
      <c r="DE82" s="88">
        <f t="shared" si="205"/>
        <v>-8976.1125470000006</v>
      </c>
      <c r="DF82" s="100" t="e">
        <f ca="1">BE82+(SUM(CS74:CS85)/12)</f>
        <v>#N/A</v>
      </c>
      <c r="DG82" s="351"/>
      <c r="DH82" s="8">
        <f t="shared" si="210"/>
        <v>0</v>
      </c>
      <c r="DI82" s="123">
        <f t="shared" si="137"/>
        <v>17200</v>
      </c>
      <c r="DJ82" s="2">
        <f t="shared" si="211"/>
        <v>0</v>
      </c>
      <c r="DK82" s="127">
        <f>DK85/12*9</f>
        <v>5850</v>
      </c>
      <c r="DL82" s="2">
        <f t="shared" si="114"/>
        <v>650</v>
      </c>
      <c r="DM82" s="130">
        <f t="shared" si="212"/>
        <v>0</v>
      </c>
      <c r="DN82" s="3">
        <f>DN85/12*9</f>
        <v>2250</v>
      </c>
      <c r="DO82" s="130">
        <f t="shared" si="116"/>
        <v>250</v>
      </c>
      <c r="DP82" s="4">
        <f t="shared" si="213"/>
        <v>0</v>
      </c>
      <c r="DQ82" s="116">
        <f t="shared" si="214"/>
        <v>9100</v>
      </c>
      <c r="DR82" s="116">
        <f t="shared" si="218"/>
        <v>300</v>
      </c>
    </row>
    <row r="83" spans="1:122" ht="14.25" customHeight="1" thickBot="1" x14ac:dyDescent="0.2">
      <c r="A83" s="416"/>
      <c r="B83" s="16">
        <v>45839</v>
      </c>
      <c r="C83" s="207">
        <f>'PV-Felder'!$I$8</f>
        <v>3593.8</v>
      </c>
      <c r="D83" s="351"/>
      <c r="E83" s="61">
        <v>0</v>
      </c>
      <c r="F83" s="351"/>
      <c r="G83" s="56" t="e">
        <f t="shared" ca="1" si="171"/>
        <v>#N/A</v>
      </c>
      <c r="H83" s="351"/>
      <c r="I83" s="61">
        <v>0</v>
      </c>
      <c r="J83" s="351"/>
      <c r="K83" s="61">
        <v>0</v>
      </c>
      <c r="L83" s="351"/>
      <c r="M83" s="65">
        <f t="shared" si="190"/>
        <v>0</v>
      </c>
      <c r="N83" s="373"/>
      <c r="O83" s="288"/>
      <c r="P83" s="288"/>
      <c r="Q83" s="286">
        <f t="shared" si="172"/>
        <v>0</v>
      </c>
      <c r="R83" s="334"/>
      <c r="S83" s="61">
        <v>0</v>
      </c>
      <c r="T83" s="376"/>
      <c r="U83" s="61">
        <v>0</v>
      </c>
      <c r="V83" s="342"/>
      <c r="W83" s="61">
        <v>0</v>
      </c>
      <c r="X83" s="342"/>
      <c r="Y83" s="211" t="e">
        <f t="shared" si="106"/>
        <v>#N/A</v>
      </c>
      <c r="Z83" s="370"/>
      <c r="AA83" s="61">
        <v>0</v>
      </c>
      <c r="AB83" s="351"/>
      <c r="AC83" s="61">
        <v>0</v>
      </c>
      <c r="AD83" s="351"/>
      <c r="AE83" s="73" t="e">
        <f t="shared" si="131"/>
        <v>#N/A</v>
      </c>
      <c r="AF83" s="356"/>
      <c r="AG83" s="73" t="e">
        <f t="shared" si="132"/>
        <v>#N/A</v>
      </c>
      <c r="AH83" s="356"/>
      <c r="AI83" s="221">
        <f t="shared" si="215"/>
        <v>29.26</v>
      </c>
      <c r="AJ83" s="78">
        <f t="shared" ref="AJ83:AP83" si="228">AJ82</f>
        <v>0.26750000000000002</v>
      </c>
      <c r="AK83" s="79">
        <f t="shared" si="228"/>
        <v>9.9166666666666661</v>
      </c>
      <c r="AL83" s="80">
        <f t="shared" si="228"/>
        <v>187</v>
      </c>
      <c r="AM83" s="78">
        <f t="shared" si="228"/>
        <v>9.737942583732058E-2</v>
      </c>
      <c r="AN83" s="80">
        <f t="shared" si="228"/>
        <v>143</v>
      </c>
      <c r="AO83" s="78">
        <f t="shared" si="228"/>
        <v>0.21099999999999999</v>
      </c>
      <c r="AP83" s="88">
        <f t="shared" si="228"/>
        <v>12</v>
      </c>
      <c r="AQ83" s="64">
        <f t="shared" si="195"/>
        <v>21.5</v>
      </c>
      <c r="AR83" s="64">
        <f t="shared" si="196"/>
        <v>11.5</v>
      </c>
      <c r="AS83" s="88">
        <f t="shared" si="197"/>
        <v>1.1830000000000001</v>
      </c>
      <c r="AT83" s="91">
        <f t="shared" si="89"/>
        <v>283</v>
      </c>
      <c r="AU83" s="94"/>
      <c r="AV83" s="95"/>
      <c r="AW83" s="56">
        <f t="shared" si="174"/>
        <v>0</v>
      </c>
      <c r="AX83" s="351"/>
      <c r="AY83" s="100">
        <f t="shared" si="201"/>
        <v>9.9166666666666661</v>
      </c>
      <c r="AZ83" s="360"/>
      <c r="BA83" s="91">
        <f t="shared" si="209"/>
        <v>-738.44588033333287</v>
      </c>
      <c r="BB83" s="5">
        <f t="shared" si="134"/>
        <v>-9.9166666666666661</v>
      </c>
      <c r="BC83" s="363"/>
      <c r="BD83" s="91" t="e">
        <f t="shared" ca="1" si="175"/>
        <v>#N/A</v>
      </c>
      <c r="BE83" s="91" t="e">
        <f t="shared" ca="1" si="176"/>
        <v>#N/A</v>
      </c>
      <c r="BF83" s="91">
        <f t="shared" si="177"/>
        <v>31.833333333333329</v>
      </c>
      <c r="BG83" s="91" t="e">
        <f t="shared" ca="1" si="178"/>
        <v>#N/A</v>
      </c>
      <c r="BH83" s="91" t="e">
        <f t="shared" ca="1" si="221"/>
        <v>#N/A</v>
      </c>
      <c r="BI83" s="10" t="e">
        <f t="shared" ca="1" si="192"/>
        <v>#N/A</v>
      </c>
      <c r="BJ83" s="104">
        <f>((M83+Q83)*AJ83+AK83)+((U83-W83+W83/('Vergleich Holz Strom'!$B$8-0.6))*AO83+AP83)</f>
        <v>21.916666666666664</v>
      </c>
      <c r="BK83" s="10" t="e">
        <f t="shared" ca="1" si="135"/>
        <v>#N/A</v>
      </c>
      <c r="BL83" s="379"/>
      <c r="BM83" s="104" t="e">
        <f t="shared" ca="1" si="188"/>
        <v>#N/A</v>
      </c>
      <c r="BN83" s="40" t="e">
        <f ca="1">IF(ISNUMBER(BK83),BN82+SUMIF(BK74:BK85,"&lt;&gt;#NV",BK74:BK85)/COUNTIF(BK74:BK85,"&lt;&gt;#NV"),#N/A)</f>
        <v>#N/A</v>
      </c>
      <c r="BO83" s="10" t="e">
        <f ca="1">BK83+AT83+AU83</f>
        <v>#N/A</v>
      </c>
      <c r="BP83" s="104" t="e">
        <f t="shared" ca="1" si="136"/>
        <v>#N/A</v>
      </c>
      <c r="BQ83" s="104">
        <f t="shared" ca="1" si="154"/>
        <v>-61469.50254699988</v>
      </c>
      <c r="BR83" s="10">
        <f t="shared" si="179"/>
        <v>9.9166666666666661</v>
      </c>
      <c r="BS83" s="311"/>
      <c r="BT83" s="307"/>
      <c r="BU83" s="295">
        <f t="shared" si="180"/>
        <v>0</v>
      </c>
      <c r="BV83" s="323"/>
      <c r="BW83" s="299">
        <f t="shared" si="181"/>
        <v>0</v>
      </c>
      <c r="BX83" s="295">
        <f t="shared" si="182"/>
        <v>0</v>
      </c>
      <c r="BY83" s="382"/>
      <c r="BZ83" s="299">
        <f t="shared" si="189"/>
        <v>0</v>
      </c>
      <c r="CA83" s="295">
        <f t="shared" si="193"/>
        <v>0</v>
      </c>
      <c r="CB83" s="323"/>
      <c r="CC83" s="314">
        <f t="shared" si="224"/>
        <v>0</v>
      </c>
      <c r="CD83" s="326"/>
      <c r="CE83" s="299">
        <f t="shared" si="183"/>
        <v>0</v>
      </c>
      <c r="CF83" s="284">
        <f t="shared" si="225"/>
        <v>0</v>
      </c>
      <c r="CG83" s="323"/>
      <c r="CH83" s="302">
        <f t="shared" si="217"/>
        <v>0</v>
      </c>
      <c r="CI83" s="108">
        <f t="shared" si="184"/>
        <v>0</v>
      </c>
      <c r="CJ83" s="200">
        <f t="shared" si="185"/>
        <v>0</v>
      </c>
      <c r="CK83" s="197">
        <f t="shared" si="199"/>
        <v>0</v>
      </c>
      <c r="CL83" s="203">
        <f t="shared" si="186"/>
        <v>12</v>
      </c>
      <c r="CM83" s="4">
        <f>U83*Jahresdaten!$AD$2</f>
        <v>0</v>
      </c>
      <c r="CN83" s="112">
        <f>CJ83*Jahresdaten!$AD$2</f>
        <v>0</v>
      </c>
      <c r="CO83" s="366"/>
      <c r="CP83" s="116">
        <f>U83*Jahresdaten!$AD$3</f>
        <v>0</v>
      </c>
      <c r="CQ83" s="12">
        <f>CJ83*Jahresdaten!$AD$3</f>
        <v>0</v>
      </c>
      <c r="CR83" s="353"/>
      <c r="CS83" s="14"/>
      <c r="CT83" s="136"/>
      <c r="CU83" s="140" t="str">
        <f>IF(CT83=0,"",CT83*'Vergleich Holz Strom'!$B$2)</f>
        <v/>
      </c>
      <c r="CV83" s="353"/>
      <c r="CW83" s="366"/>
      <c r="CX83" s="345"/>
      <c r="CY83" s="345"/>
      <c r="CZ83" s="345"/>
      <c r="DA83" s="348"/>
      <c r="DB83" s="94"/>
      <c r="DC83" s="88">
        <f t="shared" si="202"/>
        <v>12413.344666666675</v>
      </c>
      <c r="DD83" s="94"/>
      <c r="DE83" s="88">
        <f t="shared" si="205"/>
        <v>-9119.1125470000006</v>
      </c>
      <c r="DF83" s="100" t="e">
        <f ca="1">BE83+(SUM(CS74:CS85)/12)</f>
        <v>#N/A</v>
      </c>
      <c r="DG83" s="351"/>
      <c r="DH83" s="8">
        <f t="shared" si="210"/>
        <v>0</v>
      </c>
      <c r="DI83" s="123">
        <f t="shared" si="137"/>
        <v>18250</v>
      </c>
      <c r="DJ83" s="2">
        <f t="shared" si="211"/>
        <v>0</v>
      </c>
      <c r="DK83" s="127">
        <f>DK85/12*10</f>
        <v>6500</v>
      </c>
      <c r="DL83" s="2">
        <f t="shared" si="114"/>
        <v>650</v>
      </c>
      <c r="DM83" s="130">
        <f t="shared" si="212"/>
        <v>0</v>
      </c>
      <c r="DN83" s="3">
        <f>DN85/12*10</f>
        <v>2500</v>
      </c>
      <c r="DO83" s="130">
        <f t="shared" si="116"/>
        <v>250</v>
      </c>
      <c r="DP83" s="4">
        <f t="shared" si="213"/>
        <v>0</v>
      </c>
      <c r="DQ83" s="116">
        <f t="shared" si="214"/>
        <v>9250</v>
      </c>
      <c r="DR83" s="116">
        <f t="shared" si="218"/>
        <v>150</v>
      </c>
    </row>
    <row r="84" spans="1:122" ht="14.25" customHeight="1" thickBot="1" x14ac:dyDescent="0.2">
      <c r="A84" s="416"/>
      <c r="B84" s="16">
        <v>45870</v>
      </c>
      <c r="C84" s="207">
        <f>'PV-Felder'!$I$9</f>
        <v>3065.7</v>
      </c>
      <c r="D84" s="351"/>
      <c r="E84" s="61">
        <v>0</v>
      </c>
      <c r="F84" s="351"/>
      <c r="G84" s="56" t="e">
        <f t="shared" ca="1" si="171"/>
        <v>#N/A</v>
      </c>
      <c r="H84" s="351"/>
      <c r="I84" s="61">
        <v>0</v>
      </c>
      <c r="J84" s="351"/>
      <c r="K84" s="61">
        <v>0</v>
      </c>
      <c r="L84" s="351"/>
      <c r="M84" s="65">
        <f t="shared" si="190"/>
        <v>0</v>
      </c>
      <c r="N84" s="373"/>
      <c r="O84" s="288"/>
      <c r="P84" s="288"/>
      <c r="Q84" s="286">
        <f t="shared" si="172"/>
        <v>0</v>
      </c>
      <c r="R84" s="334"/>
      <c r="S84" s="61">
        <v>0</v>
      </c>
      <c r="T84" s="376"/>
      <c r="U84" s="61">
        <v>0</v>
      </c>
      <c r="V84" s="342"/>
      <c r="W84" s="61">
        <v>0</v>
      </c>
      <c r="X84" s="342"/>
      <c r="Y84" s="211" t="e">
        <f t="shared" si="106"/>
        <v>#N/A</v>
      </c>
      <c r="Z84" s="370"/>
      <c r="AA84" s="61">
        <v>0</v>
      </c>
      <c r="AB84" s="351"/>
      <c r="AC84" s="61">
        <v>0</v>
      </c>
      <c r="AD84" s="351"/>
      <c r="AE84" s="73" t="e">
        <f t="shared" si="131"/>
        <v>#N/A</v>
      </c>
      <c r="AF84" s="356"/>
      <c r="AG84" s="73" t="e">
        <f t="shared" si="132"/>
        <v>#N/A</v>
      </c>
      <c r="AH84" s="356"/>
      <c r="AI84" s="221">
        <f t="shared" si="215"/>
        <v>29.26</v>
      </c>
      <c r="AJ84" s="78">
        <f t="shared" ref="AJ84:AP84" si="229">AJ83</f>
        <v>0.26750000000000002</v>
      </c>
      <c r="AK84" s="79">
        <f t="shared" si="229"/>
        <v>9.9166666666666661</v>
      </c>
      <c r="AL84" s="80">
        <f t="shared" si="229"/>
        <v>187</v>
      </c>
      <c r="AM84" s="78">
        <f t="shared" si="229"/>
        <v>9.737942583732058E-2</v>
      </c>
      <c r="AN84" s="80">
        <f t="shared" si="229"/>
        <v>143</v>
      </c>
      <c r="AO84" s="78">
        <f t="shared" si="229"/>
        <v>0.21099999999999999</v>
      </c>
      <c r="AP84" s="88">
        <f t="shared" si="229"/>
        <v>12</v>
      </c>
      <c r="AQ84" s="64">
        <f t="shared" si="195"/>
        <v>21.5</v>
      </c>
      <c r="AR84" s="64">
        <f t="shared" si="196"/>
        <v>11.5</v>
      </c>
      <c r="AS84" s="88">
        <f t="shared" si="197"/>
        <v>1.1830000000000001</v>
      </c>
      <c r="AT84" s="91">
        <f t="shared" si="89"/>
        <v>283</v>
      </c>
      <c r="AU84" s="94"/>
      <c r="AV84" s="95"/>
      <c r="AW84" s="56">
        <f t="shared" si="174"/>
        <v>0</v>
      </c>
      <c r="AX84" s="351"/>
      <c r="AY84" s="100">
        <f t="shared" si="201"/>
        <v>9.9166666666666661</v>
      </c>
      <c r="AZ84" s="360"/>
      <c r="BA84" s="91">
        <f t="shared" si="209"/>
        <v>-748.36254699999949</v>
      </c>
      <c r="BB84" s="5">
        <f t="shared" si="134"/>
        <v>-9.9166666666666661</v>
      </c>
      <c r="BC84" s="363"/>
      <c r="BD84" s="91" t="e">
        <f t="shared" ca="1" si="175"/>
        <v>#N/A</v>
      </c>
      <c r="BE84" s="91" t="e">
        <f t="shared" ca="1" si="176"/>
        <v>#N/A</v>
      </c>
      <c r="BF84" s="91">
        <f t="shared" si="177"/>
        <v>31.833333333333329</v>
      </c>
      <c r="BG84" s="91" t="e">
        <f t="shared" ca="1" si="178"/>
        <v>#N/A</v>
      </c>
      <c r="BH84" s="91" t="e">
        <f t="shared" ca="1" si="221"/>
        <v>#N/A</v>
      </c>
      <c r="BI84" s="10" t="e">
        <f t="shared" ca="1" si="192"/>
        <v>#N/A</v>
      </c>
      <c r="BJ84" s="104">
        <f>((M84+Q84)*AJ84+AK84)+((U84-W84+W84/('Vergleich Holz Strom'!$B$8-0.6))*AO84+AP84)</f>
        <v>21.916666666666664</v>
      </c>
      <c r="BK84" s="10" t="e">
        <f t="shared" ca="1" si="135"/>
        <v>#N/A</v>
      </c>
      <c r="BL84" s="379"/>
      <c r="BM84" s="104" t="e">
        <f t="shared" ca="1" si="188"/>
        <v>#N/A</v>
      </c>
      <c r="BN84" s="40" t="e">
        <f ca="1">IF(ISNUMBER(BK84),BN83+SUMIF(BK74:BK85,"&lt;&gt;#NV",BK74:BK85)/COUNTIF(BK74:BK85,"&lt;&gt;#NV"),#N/A)</f>
        <v>#N/A</v>
      </c>
      <c r="BO84" s="10" t="e">
        <f t="shared" ref="BO84:BO94" ca="1" si="230">BK84+AT84+AU84</f>
        <v>#N/A</v>
      </c>
      <c r="BP84" s="104" t="e">
        <f t="shared" ca="1" si="136"/>
        <v>#N/A</v>
      </c>
      <c r="BQ84" s="104">
        <f t="shared" ca="1" si="154"/>
        <v>-61453.50254699988</v>
      </c>
      <c r="BR84" s="10">
        <f t="shared" si="179"/>
        <v>9.9166666666666661</v>
      </c>
      <c r="BS84" s="311"/>
      <c r="BT84" s="307"/>
      <c r="BU84" s="295">
        <f t="shared" si="180"/>
        <v>0</v>
      </c>
      <c r="BV84" s="323"/>
      <c r="BW84" s="299">
        <f t="shared" si="181"/>
        <v>0</v>
      </c>
      <c r="BX84" s="295">
        <f t="shared" si="182"/>
        <v>0</v>
      </c>
      <c r="BY84" s="382"/>
      <c r="BZ84" s="299">
        <f t="shared" si="189"/>
        <v>0</v>
      </c>
      <c r="CA84" s="295">
        <f t="shared" si="193"/>
        <v>0</v>
      </c>
      <c r="CB84" s="323"/>
      <c r="CC84" s="314">
        <f t="shared" si="224"/>
        <v>0</v>
      </c>
      <c r="CD84" s="326"/>
      <c r="CE84" s="299">
        <f t="shared" si="183"/>
        <v>0</v>
      </c>
      <c r="CF84" s="284">
        <f t="shared" si="225"/>
        <v>0</v>
      </c>
      <c r="CG84" s="323"/>
      <c r="CH84" s="302">
        <f t="shared" si="217"/>
        <v>0</v>
      </c>
      <c r="CI84" s="108">
        <f t="shared" si="184"/>
        <v>0</v>
      </c>
      <c r="CJ84" s="200">
        <f t="shared" si="185"/>
        <v>0</v>
      </c>
      <c r="CK84" s="197">
        <f t="shared" si="199"/>
        <v>0</v>
      </c>
      <c r="CL84" s="203">
        <f t="shared" si="186"/>
        <v>12</v>
      </c>
      <c r="CM84" s="4">
        <f>U84*Jahresdaten!$AD$2</f>
        <v>0</v>
      </c>
      <c r="CN84" s="112">
        <f>CJ84*Jahresdaten!$AD$2</f>
        <v>0</v>
      </c>
      <c r="CO84" s="366"/>
      <c r="CP84" s="116">
        <f>U84*Jahresdaten!$AD$3</f>
        <v>0</v>
      </c>
      <c r="CQ84" s="12">
        <f>CJ84*Jahresdaten!$AD$3</f>
        <v>0</v>
      </c>
      <c r="CR84" s="353"/>
      <c r="CS84" s="14"/>
      <c r="CT84" s="136"/>
      <c r="CU84" s="140" t="str">
        <f>IF(CT84=0,"",CT84*'Vergleich Holz Strom'!$B$2)</f>
        <v/>
      </c>
      <c r="CV84" s="353"/>
      <c r="CW84" s="366"/>
      <c r="CX84" s="345"/>
      <c r="CY84" s="345"/>
      <c r="CZ84" s="345"/>
      <c r="DA84" s="348"/>
      <c r="DB84" s="94"/>
      <c r="DC84" s="88">
        <f t="shared" si="202"/>
        <v>12590.428000000009</v>
      </c>
      <c r="DD84" s="94"/>
      <c r="DE84" s="88">
        <f t="shared" si="205"/>
        <v>-9262.1125470000006</v>
      </c>
      <c r="DF84" s="100" t="e">
        <f ca="1">BE84+(SUM(CS74:CS85)/12)</f>
        <v>#N/A</v>
      </c>
      <c r="DG84" s="351"/>
      <c r="DH84" s="8">
        <f t="shared" si="210"/>
        <v>0</v>
      </c>
      <c r="DI84" s="123">
        <f t="shared" si="137"/>
        <v>19300</v>
      </c>
      <c r="DJ84" s="2">
        <f t="shared" si="211"/>
        <v>0</v>
      </c>
      <c r="DK84" s="127">
        <f>DK85/12*11</f>
        <v>7150</v>
      </c>
      <c r="DL84" s="2">
        <f t="shared" si="114"/>
        <v>650</v>
      </c>
      <c r="DM84" s="130">
        <f t="shared" si="212"/>
        <v>0</v>
      </c>
      <c r="DN84" s="3">
        <f>DN85/12*11</f>
        <v>2750</v>
      </c>
      <c r="DO84" s="130">
        <f t="shared" si="116"/>
        <v>250</v>
      </c>
      <c r="DP84" s="4">
        <f t="shared" si="213"/>
        <v>0</v>
      </c>
      <c r="DQ84" s="116">
        <f t="shared" si="214"/>
        <v>9400</v>
      </c>
      <c r="DR84" s="116">
        <f t="shared" si="218"/>
        <v>150</v>
      </c>
    </row>
    <row r="85" spans="1:122" s="28" customFormat="1" ht="15" customHeight="1" thickBot="1" x14ac:dyDescent="0.2">
      <c r="A85" s="417"/>
      <c r="B85" s="18">
        <v>45901</v>
      </c>
      <c r="C85" s="208">
        <f>'PV-Felder'!$I$10</f>
        <v>2246.7000000000003</v>
      </c>
      <c r="D85" s="352"/>
      <c r="E85" s="63">
        <v>0</v>
      </c>
      <c r="F85" s="352"/>
      <c r="G85" s="57" t="e">
        <f t="shared" ca="1" si="171"/>
        <v>#N/A</v>
      </c>
      <c r="H85" s="352"/>
      <c r="I85" s="63">
        <v>0</v>
      </c>
      <c r="J85" s="352"/>
      <c r="K85" s="63">
        <v>0</v>
      </c>
      <c r="L85" s="352"/>
      <c r="M85" s="67">
        <f t="shared" si="190"/>
        <v>0</v>
      </c>
      <c r="N85" s="374"/>
      <c r="O85" s="290"/>
      <c r="P85" s="290"/>
      <c r="Q85" s="289">
        <f t="shared" si="172"/>
        <v>0</v>
      </c>
      <c r="R85" s="334"/>
      <c r="S85" s="63">
        <v>0</v>
      </c>
      <c r="T85" s="377"/>
      <c r="U85" s="63">
        <v>0</v>
      </c>
      <c r="V85" s="343"/>
      <c r="W85" s="63">
        <v>0</v>
      </c>
      <c r="X85" s="343"/>
      <c r="Y85" s="213" t="e">
        <f t="shared" si="106"/>
        <v>#N/A</v>
      </c>
      <c r="Z85" s="371"/>
      <c r="AA85" s="63">
        <v>0</v>
      </c>
      <c r="AB85" s="352"/>
      <c r="AC85" s="63">
        <v>0</v>
      </c>
      <c r="AD85" s="352"/>
      <c r="AE85" s="75" t="e">
        <f t="shared" si="131"/>
        <v>#N/A</v>
      </c>
      <c r="AF85" s="357"/>
      <c r="AG85" s="75" t="e">
        <f t="shared" si="132"/>
        <v>#N/A</v>
      </c>
      <c r="AH85" s="357"/>
      <c r="AI85" s="223">
        <f>AI84</f>
        <v>29.26</v>
      </c>
      <c r="AJ85" s="83">
        <f t="shared" ref="AJ85:AP85" si="231">AJ84</f>
        <v>0.26750000000000002</v>
      </c>
      <c r="AK85" s="21">
        <f t="shared" si="231"/>
        <v>9.9166666666666661</v>
      </c>
      <c r="AL85" s="84">
        <f t="shared" si="231"/>
        <v>187</v>
      </c>
      <c r="AM85" s="83">
        <f t="shared" si="231"/>
        <v>9.737942583732058E-2</v>
      </c>
      <c r="AN85" s="84">
        <f t="shared" si="231"/>
        <v>143</v>
      </c>
      <c r="AO85" s="83">
        <f t="shared" si="231"/>
        <v>0.21099999999999999</v>
      </c>
      <c r="AP85" s="90">
        <f t="shared" si="231"/>
        <v>12</v>
      </c>
      <c r="AQ85" s="125">
        <f t="shared" si="195"/>
        <v>21.5</v>
      </c>
      <c r="AR85" s="125">
        <f t="shared" si="196"/>
        <v>11.5</v>
      </c>
      <c r="AS85" s="92">
        <f t="shared" si="197"/>
        <v>1.1830000000000001</v>
      </c>
      <c r="AT85" s="92">
        <f t="shared" si="89"/>
        <v>283</v>
      </c>
      <c r="AU85" s="98"/>
      <c r="AV85" s="99"/>
      <c r="AW85" s="57">
        <f t="shared" si="174"/>
        <v>0</v>
      </c>
      <c r="AX85" s="352"/>
      <c r="AY85" s="102">
        <f t="shared" si="201"/>
        <v>9.9166666666666661</v>
      </c>
      <c r="AZ85" s="361"/>
      <c r="BA85" s="92">
        <f t="shared" si="209"/>
        <v>-758.27921366666612</v>
      </c>
      <c r="BB85" s="22">
        <f t="shared" si="134"/>
        <v>-9.9166666666666661</v>
      </c>
      <c r="BC85" s="364"/>
      <c r="BD85" s="92" t="e">
        <f t="shared" ca="1" si="175"/>
        <v>#N/A</v>
      </c>
      <c r="BE85" s="92" t="e">
        <f t="shared" ca="1" si="176"/>
        <v>#N/A</v>
      </c>
      <c r="BF85" s="92">
        <f t="shared" si="177"/>
        <v>31.833333333333329</v>
      </c>
      <c r="BG85" s="92" t="e">
        <f t="shared" ca="1" si="178"/>
        <v>#N/A</v>
      </c>
      <c r="BH85" s="92" t="e">
        <f t="shared" ca="1" si="221"/>
        <v>#N/A</v>
      </c>
      <c r="BI85" s="24" t="e">
        <f t="shared" ca="1" si="192"/>
        <v>#N/A</v>
      </c>
      <c r="BJ85" s="106">
        <f>((M85+Q85)*AJ85+AK85)+((U85-W85+W85/('Vergleich Holz Strom'!$B$8-0.6))*AO85+AP85)</f>
        <v>21.916666666666664</v>
      </c>
      <c r="BK85" s="24" t="e">
        <f t="shared" ca="1" si="135"/>
        <v>#N/A</v>
      </c>
      <c r="BL85" s="380"/>
      <c r="BM85" s="106" t="e">
        <f t="shared" ca="1" si="188"/>
        <v>#N/A</v>
      </c>
      <c r="BN85" s="226" t="e">
        <f ca="1">IF(ISNUMBER(BK85),BN84+SUMIF(BK74:BK85,"&lt;&gt;#NV",BK74:BK85)/COUNTIF(BK74:BK85,"&lt;&gt;#NV"),#N/A)</f>
        <v>#N/A</v>
      </c>
      <c r="BO85" s="318" t="e">
        <f t="shared" ca="1" si="230"/>
        <v>#N/A</v>
      </c>
      <c r="BP85" s="106" t="e">
        <f t="shared" ca="1" si="136"/>
        <v>#N/A</v>
      </c>
      <c r="BQ85" s="106">
        <f t="shared" ca="1" si="154"/>
        <v>-61437.50254699988</v>
      </c>
      <c r="BR85" s="24">
        <f t="shared" si="179"/>
        <v>9.9166666666666661</v>
      </c>
      <c r="BS85" s="312"/>
      <c r="BT85" s="308"/>
      <c r="BU85" s="296">
        <f t="shared" si="180"/>
        <v>0</v>
      </c>
      <c r="BV85" s="324"/>
      <c r="BW85" s="292">
        <f t="shared" si="181"/>
        <v>0</v>
      </c>
      <c r="BX85" s="295">
        <f t="shared" si="182"/>
        <v>0</v>
      </c>
      <c r="BY85" s="382"/>
      <c r="BZ85" s="299">
        <f t="shared" si="189"/>
        <v>0</v>
      </c>
      <c r="CA85" s="296">
        <f t="shared" si="193"/>
        <v>0</v>
      </c>
      <c r="CB85" s="324"/>
      <c r="CC85" s="315">
        <f t="shared" si="224"/>
        <v>0</v>
      </c>
      <c r="CD85" s="327"/>
      <c r="CE85" s="292">
        <f t="shared" si="183"/>
        <v>0</v>
      </c>
      <c r="CF85" s="296">
        <f t="shared" si="225"/>
        <v>0</v>
      </c>
      <c r="CG85" s="324"/>
      <c r="CH85" s="303">
        <f t="shared" si="217"/>
        <v>0</v>
      </c>
      <c r="CI85" s="110">
        <f t="shared" si="184"/>
        <v>0</v>
      </c>
      <c r="CJ85" s="200">
        <f t="shared" si="185"/>
        <v>0</v>
      </c>
      <c r="CK85" s="25">
        <f t="shared" si="199"/>
        <v>0</v>
      </c>
      <c r="CL85" s="204">
        <f t="shared" si="186"/>
        <v>12</v>
      </c>
      <c r="CM85" s="26">
        <f>U85*Jahresdaten!$AD$2</f>
        <v>0</v>
      </c>
      <c r="CN85" s="114">
        <f>CJ85*Jahresdaten!$AD$2</f>
        <v>0</v>
      </c>
      <c r="CO85" s="346"/>
      <c r="CP85" s="118">
        <f>U85*Jahresdaten!$AD$3</f>
        <v>0</v>
      </c>
      <c r="CQ85" s="25">
        <f>CJ85*Jahresdaten!$AD$3</f>
        <v>0</v>
      </c>
      <c r="CR85" s="354"/>
      <c r="CS85" s="23"/>
      <c r="CT85" s="138"/>
      <c r="CU85" s="141" t="str">
        <f>IF(CT85=0,"",CT85*'Vergleich Holz Strom'!$B$2)</f>
        <v/>
      </c>
      <c r="CV85" s="354"/>
      <c r="CW85" s="346"/>
      <c r="CX85" s="346"/>
      <c r="CY85" s="346"/>
      <c r="CZ85" s="346"/>
      <c r="DA85" s="349"/>
      <c r="DB85" s="98"/>
      <c r="DC85" s="90">
        <f t="shared" si="202"/>
        <v>12767.511333333343</v>
      </c>
      <c r="DD85" s="98"/>
      <c r="DE85" s="90">
        <f t="shared" si="205"/>
        <v>-9405.1125470000006</v>
      </c>
      <c r="DF85" s="102" t="e">
        <f ca="1">BE85+(SUM(CS74:CS85)/12)</f>
        <v>#N/A</v>
      </c>
      <c r="DG85" s="352"/>
      <c r="DH85" s="19">
        <f t="shared" si="210"/>
        <v>0</v>
      </c>
      <c r="DI85" s="125">
        <f t="shared" si="137"/>
        <v>20800</v>
      </c>
      <c r="DJ85" s="20">
        <f t="shared" si="211"/>
        <v>0</v>
      </c>
      <c r="DK85" s="129">
        <f>DK73</f>
        <v>7800</v>
      </c>
      <c r="DL85" s="20">
        <f t="shared" si="114"/>
        <v>650</v>
      </c>
      <c r="DM85" s="132">
        <f t="shared" si="212"/>
        <v>0</v>
      </c>
      <c r="DN85" s="27">
        <f>DN73</f>
        <v>3000</v>
      </c>
      <c r="DO85" s="132">
        <f t="shared" si="116"/>
        <v>250</v>
      </c>
      <c r="DP85" s="26">
        <f t="shared" si="213"/>
        <v>0</v>
      </c>
      <c r="DQ85" s="118">
        <f>DQ73</f>
        <v>10000</v>
      </c>
      <c r="DR85" s="118">
        <f>DR73</f>
        <v>600</v>
      </c>
    </row>
    <row r="86" spans="1:122" ht="15" customHeight="1" thickBot="1" x14ac:dyDescent="0.2">
      <c r="A86" s="415" t="s">
        <v>165</v>
      </c>
      <c r="B86" s="16">
        <v>45931</v>
      </c>
      <c r="C86" s="207">
        <f>'PV-Felder'!$I$11</f>
        <v>1416.7</v>
      </c>
      <c r="D86" s="358">
        <f>SUMIF(E86:E97,"&gt;0",C86:C97)</f>
        <v>0</v>
      </c>
      <c r="E86" s="61">
        <v>0</v>
      </c>
      <c r="F86" s="368">
        <f>SUM(E86:E97)</f>
        <v>0</v>
      </c>
      <c r="G86" s="58" t="e">
        <f t="shared" ca="1" si="171"/>
        <v>#N/A</v>
      </c>
      <c r="H86" s="358" t="e">
        <f ca="1">IF(TODAY()&lt;B86,#N/A,F86-D86)</f>
        <v>#N/A</v>
      </c>
      <c r="I86" s="61">
        <v>0</v>
      </c>
      <c r="J86" s="368">
        <f>SUM(I86:I97)</f>
        <v>0</v>
      </c>
      <c r="K86" s="61">
        <v>0</v>
      </c>
      <c r="L86" s="368">
        <f>SUM(K86:K97)</f>
        <v>0</v>
      </c>
      <c r="M86" s="66">
        <f t="shared" si="190"/>
        <v>0</v>
      </c>
      <c r="N86" s="372">
        <f>SUM(M86:M97)</f>
        <v>0</v>
      </c>
      <c r="Q86" s="287">
        <f t="shared" si="172"/>
        <v>0</v>
      </c>
      <c r="R86" s="333">
        <f>SUM(Q86:Q97)</f>
        <v>0</v>
      </c>
      <c r="S86" s="61">
        <v>0</v>
      </c>
      <c r="T86" s="375">
        <f>SUM(S86:S97)</f>
        <v>0</v>
      </c>
      <c r="U86" s="61">
        <v>0</v>
      </c>
      <c r="V86" s="341">
        <f>SUM(U86:U97)</f>
        <v>0</v>
      </c>
      <c r="W86" s="61">
        <v>0</v>
      </c>
      <c r="X86" s="341">
        <f>SUM(W86:W97)</f>
        <v>0</v>
      </c>
      <c r="Y86" s="211" t="e">
        <f t="shared" si="106"/>
        <v>#N/A</v>
      </c>
      <c r="Z86" s="369">
        <f>N86+T86+V86</f>
        <v>0</v>
      </c>
      <c r="AA86" s="62">
        <v>0</v>
      </c>
      <c r="AB86" s="368">
        <f>SUM(AA86:AA97)</f>
        <v>0</v>
      </c>
      <c r="AC86" s="62">
        <v>0</v>
      </c>
      <c r="AD86" s="368">
        <f>SUM(AC86:AC97)</f>
        <v>0</v>
      </c>
      <c r="AE86" s="74" t="e">
        <f t="shared" si="131"/>
        <v>#N/A</v>
      </c>
      <c r="AF86" s="355" t="e">
        <f>IF(SUMIF(AE86:AE97,"&gt;0")&gt;0,SUMIF(AE86:AE97,"&gt;0")/COUNTIF(AE86:AE97,"&gt;0"),#N/A)</f>
        <v>#N/A</v>
      </c>
      <c r="AG86" s="73" t="e">
        <f t="shared" si="132"/>
        <v>#N/A</v>
      </c>
      <c r="AH86" s="355" t="e">
        <f>IF(SUMIF(AG86:AG97,"&gt;0")&gt;0,SUMIF(AG86:AG97,"&gt;0")/COUNTIF(AG86:AG97,"&gt;0"),#N/A)</f>
        <v>#N/A</v>
      </c>
      <c r="AI86" s="222">
        <f>AI85</f>
        <v>29.26</v>
      </c>
      <c r="AJ86" s="78">
        <f t="shared" ref="AJ86:AP86" si="232">AJ85</f>
        <v>0.26750000000000002</v>
      </c>
      <c r="AK86" s="79">
        <f t="shared" si="232"/>
        <v>9.9166666666666661</v>
      </c>
      <c r="AL86" s="80">
        <f t="shared" si="232"/>
        <v>187</v>
      </c>
      <c r="AM86" s="78">
        <f t="shared" si="232"/>
        <v>9.737942583732058E-2</v>
      </c>
      <c r="AN86" s="80">
        <f t="shared" si="232"/>
        <v>143</v>
      </c>
      <c r="AO86" s="78">
        <f t="shared" si="232"/>
        <v>0.21099999999999999</v>
      </c>
      <c r="AP86" s="88">
        <f t="shared" si="232"/>
        <v>12</v>
      </c>
      <c r="AQ86" s="64">
        <f t="shared" si="195"/>
        <v>21.5</v>
      </c>
      <c r="AR86" s="64">
        <f t="shared" si="196"/>
        <v>11.5</v>
      </c>
      <c r="AS86" s="88">
        <f t="shared" si="197"/>
        <v>1.1830000000000001</v>
      </c>
      <c r="AT86" s="91">
        <f t="shared" si="89"/>
        <v>283</v>
      </c>
      <c r="AU86" s="94"/>
      <c r="AV86" s="95"/>
      <c r="AW86" s="56">
        <f t="shared" si="174"/>
        <v>0</v>
      </c>
      <c r="AX86" s="358">
        <f>SUM(AW86:AW97)</f>
        <v>0</v>
      </c>
      <c r="AY86" s="100">
        <f t="shared" si="201"/>
        <v>9.9166666666666661</v>
      </c>
      <c r="AZ86" s="359">
        <f>SUM(AY86:AY97)</f>
        <v>119.00000000000001</v>
      </c>
      <c r="BA86" s="103">
        <f>BA85-AY86</f>
        <v>-768.19588033333275</v>
      </c>
      <c r="BB86" s="5">
        <f t="shared" si="134"/>
        <v>-9.9166666666666661</v>
      </c>
      <c r="BC86" s="362">
        <f>SUM(AY86:AY97)/12</f>
        <v>9.9166666666666679</v>
      </c>
      <c r="BD86" s="91" t="e">
        <f t="shared" ca="1" si="175"/>
        <v>#N/A</v>
      </c>
      <c r="BE86" s="91" t="e">
        <f t="shared" ca="1" si="176"/>
        <v>#N/A</v>
      </c>
      <c r="BF86" s="91">
        <f t="shared" si="177"/>
        <v>31.833333333333329</v>
      </c>
      <c r="BG86" s="91" t="e">
        <f t="shared" ca="1" si="178"/>
        <v>#N/A</v>
      </c>
      <c r="BH86" s="91" t="e">
        <f t="shared" ca="1" si="221"/>
        <v>#N/A</v>
      </c>
      <c r="BI86" s="10" t="e">
        <f t="shared" ca="1" si="192"/>
        <v>#N/A</v>
      </c>
      <c r="BJ86" s="104">
        <f>((M86+Q86)*AJ86+AK86)+((U86-W86+W86/('Vergleich Holz Strom'!$B$8-0.6))*AO86+AP86)</f>
        <v>21.916666666666664</v>
      </c>
      <c r="BK86" s="10" t="e">
        <f t="shared" ca="1" si="135"/>
        <v>#N/A</v>
      </c>
      <c r="BL86" s="378">
        <f ca="1">SUMIF(BK86:BK97,"&lt;&gt;#NV",BK86:BK97)</f>
        <v>0</v>
      </c>
      <c r="BM86" s="104" t="e">
        <f t="shared" ca="1" si="188"/>
        <v>#N/A</v>
      </c>
      <c r="BN86" s="40" t="e">
        <f ca="1">IF(ISNUMBER(BK86),BN85+SUMIF(BK86:BK97,"&lt;&gt;#NV",BK86:BK97)/COUNTIF(BK86:BK97,"&lt;&gt;#NV"),#N/A)</f>
        <v>#N/A</v>
      </c>
      <c r="BO86" s="10" t="e">
        <f t="shared" ca="1" si="230"/>
        <v>#N/A</v>
      </c>
      <c r="BP86" s="105" t="e">
        <f t="shared" ca="1" si="136"/>
        <v>#N/A</v>
      </c>
      <c r="BQ86" s="104">
        <f t="shared" ca="1" si="154"/>
        <v>-61425.50254699988</v>
      </c>
      <c r="BR86" s="10">
        <f t="shared" si="179"/>
        <v>9.9166666666666661</v>
      </c>
      <c r="BS86" s="311"/>
      <c r="BT86" s="307"/>
      <c r="BU86" s="295">
        <f t="shared" si="180"/>
        <v>0</v>
      </c>
      <c r="BV86" s="322">
        <f>SUM(BU86:BU97)</f>
        <v>0</v>
      </c>
      <c r="BW86" s="300">
        <f t="shared" si="181"/>
        <v>0</v>
      </c>
      <c r="BX86" s="305">
        <f t="shared" si="182"/>
        <v>0</v>
      </c>
      <c r="BY86" s="381">
        <f>SUM(BX86:BX97)</f>
        <v>0</v>
      </c>
      <c r="BZ86" s="300">
        <f t="shared" si="189"/>
        <v>0</v>
      </c>
      <c r="CA86" s="295">
        <f t="shared" si="193"/>
        <v>0</v>
      </c>
      <c r="CB86" s="322">
        <f>SUM(CA86:CA97)</f>
        <v>0</v>
      </c>
      <c r="CC86" s="314">
        <f t="shared" si="224"/>
        <v>0</v>
      </c>
      <c r="CD86" s="325">
        <f>SUM(CC86:CC97)</f>
        <v>0</v>
      </c>
      <c r="CE86" s="299">
        <f t="shared" si="183"/>
        <v>0</v>
      </c>
      <c r="CF86" s="284">
        <f t="shared" si="225"/>
        <v>0</v>
      </c>
      <c r="CG86" s="328">
        <f>SUM(CF86:CF97)</f>
        <v>0</v>
      </c>
      <c r="CH86" s="302">
        <f t="shared" si="217"/>
        <v>0</v>
      </c>
      <c r="CI86" s="108">
        <f t="shared" si="184"/>
        <v>0</v>
      </c>
      <c r="CJ86" s="201">
        <f t="shared" si="185"/>
        <v>0</v>
      </c>
      <c r="CK86" s="197">
        <f t="shared" si="199"/>
        <v>0</v>
      </c>
      <c r="CL86" s="203">
        <f t="shared" si="186"/>
        <v>12</v>
      </c>
      <c r="CM86" s="4">
        <f>U86*Jahresdaten!$AD$2</f>
        <v>0</v>
      </c>
      <c r="CN86" s="112">
        <f>CJ86*Jahresdaten!$AD$2</f>
        <v>0</v>
      </c>
      <c r="CO86" s="365">
        <f>CW86*Jahresdaten!$AD$2</f>
        <v>856.59076092206669</v>
      </c>
      <c r="CP86" s="116">
        <f>U86*Jahresdaten!$AD$3</f>
        <v>0</v>
      </c>
      <c r="CQ86" s="12">
        <f>CJ86*Jahresdaten!$AD$3</f>
        <v>0</v>
      </c>
      <c r="CR86" s="367">
        <f>CW86*Jahresdaten!$AD$3</f>
        <v>312.40923907793319</v>
      </c>
      <c r="CS86" s="14">
        <f>CS74</f>
        <v>1169</v>
      </c>
      <c r="CT86" s="136">
        <f>CT74</f>
        <v>12</v>
      </c>
      <c r="CU86" s="140">
        <f>IF(CT86=0,"",CT86*'Vergleich Holz Strom'!$B$2)</f>
        <v>25800</v>
      </c>
      <c r="CV86" s="120" t="s">
        <v>7</v>
      </c>
      <c r="CW86" s="365">
        <f>CV87+CV93</f>
        <v>1169</v>
      </c>
      <c r="CX86" s="344">
        <f>SUM(CS86:CS97)/SUM(CU86:CU97)*(SUM(CU86:CU97)+(V86*('Vergleich Holz Strom'!$B$8-0.6)/'Vergleich Holz Strom'!$E$6))</f>
        <v>1169</v>
      </c>
      <c r="CY86" s="344">
        <f>SUM(CU86:CU97)*'Vergleich Holz Strom'!$E$6/('Vergleich Holz Strom'!$B$8-0.6)*(SUM(AJ86:AJ97)/12)+CV87</f>
        <v>1420.8970588235295</v>
      </c>
      <c r="CZ86" s="344">
        <f>SUM(CU86:CU97)*'Vergleich Holz Strom'!$E$6/('Vergleich Holz Strom'!$B$8-0.6)*SUM(AM86:AM97)/12+SUM(CK86:CK97)</f>
        <v>517.25659724176774</v>
      </c>
      <c r="DA86" s="347">
        <f>SUM(CU86:CU97)*'Vergleich Holz Strom'!$E$6/('Vergleich Holz Strom'!$B$8-0.6)*(SUM(AO86:AO97)/12)+SUM(CL86:CL97)</f>
        <v>1264.7823529411764</v>
      </c>
      <c r="DB86" s="94"/>
      <c r="DC86" s="88">
        <f t="shared" si="202"/>
        <v>12944.594666666677</v>
      </c>
      <c r="DD86" s="94"/>
      <c r="DE86" s="88">
        <f t="shared" si="205"/>
        <v>-9548.1125470000006</v>
      </c>
      <c r="DF86" s="100" t="e">
        <f ca="1">BE86+(SUM(CS86:CS97)/12)</f>
        <v>#N/A</v>
      </c>
      <c r="DG86" s="350">
        <f ca="1">SUMIF(DF86:DF97,"&gt;0")</f>
        <v>0</v>
      </c>
      <c r="DH86" s="8">
        <f>M86+S86+U86</f>
        <v>0</v>
      </c>
      <c r="DI86" s="123">
        <f t="shared" si="137"/>
        <v>1850</v>
      </c>
      <c r="DJ86" s="2">
        <f>M86</f>
        <v>0</v>
      </c>
      <c r="DK86" s="127">
        <f>DK97/12*1</f>
        <v>650</v>
      </c>
      <c r="DL86" s="2">
        <f>DL85</f>
        <v>650</v>
      </c>
      <c r="DM86" s="130">
        <f>S86</f>
        <v>0</v>
      </c>
      <c r="DN86" s="3">
        <f>DN97/12*1</f>
        <v>250</v>
      </c>
      <c r="DO86" s="130">
        <f>DO85</f>
        <v>250</v>
      </c>
      <c r="DP86" s="4">
        <f>U86</f>
        <v>0</v>
      </c>
      <c r="DQ86" s="116">
        <f>DR86</f>
        <v>950</v>
      </c>
      <c r="DR86" s="116">
        <f>DR74</f>
        <v>950</v>
      </c>
    </row>
    <row r="87" spans="1:122" ht="14.25" customHeight="1" thickBot="1" x14ac:dyDescent="0.2">
      <c r="A87" s="416"/>
      <c r="B87" s="16">
        <v>45962</v>
      </c>
      <c r="C87" s="207">
        <f>'PV-Felder'!$I$12</f>
        <v>739.6</v>
      </c>
      <c r="D87" s="351"/>
      <c r="E87" s="61">
        <v>0</v>
      </c>
      <c r="F87" s="351"/>
      <c r="G87" s="56" t="e">
        <f t="shared" ca="1" si="171"/>
        <v>#N/A</v>
      </c>
      <c r="H87" s="351"/>
      <c r="I87" s="61">
        <v>0</v>
      </c>
      <c r="J87" s="351"/>
      <c r="K87" s="61">
        <v>0</v>
      </c>
      <c r="L87" s="351"/>
      <c r="M87" s="65">
        <f t="shared" si="190"/>
        <v>0</v>
      </c>
      <c r="N87" s="373"/>
      <c r="O87" s="288"/>
      <c r="P87" s="288"/>
      <c r="Q87" s="286">
        <f t="shared" si="172"/>
        <v>0</v>
      </c>
      <c r="R87" s="334"/>
      <c r="S87" s="61">
        <v>0</v>
      </c>
      <c r="T87" s="376"/>
      <c r="U87" s="61">
        <v>0</v>
      </c>
      <c r="V87" s="342"/>
      <c r="W87" s="61">
        <v>0</v>
      </c>
      <c r="X87" s="342"/>
      <c r="Y87" s="211" t="e">
        <f t="shared" si="106"/>
        <v>#N/A</v>
      </c>
      <c r="Z87" s="370"/>
      <c r="AA87" s="61">
        <v>0</v>
      </c>
      <c r="AB87" s="351"/>
      <c r="AC87" s="61">
        <v>0</v>
      </c>
      <c r="AD87" s="351"/>
      <c r="AE87" s="73" t="e">
        <f t="shared" si="131"/>
        <v>#N/A</v>
      </c>
      <c r="AF87" s="356"/>
      <c r="AG87" s="73" t="e">
        <f t="shared" si="132"/>
        <v>#N/A</v>
      </c>
      <c r="AH87" s="356"/>
      <c r="AI87" s="221">
        <f>AI86</f>
        <v>29.26</v>
      </c>
      <c r="AJ87" s="78">
        <f t="shared" ref="AJ87:AN87" si="233">AJ86</f>
        <v>0.26750000000000002</v>
      </c>
      <c r="AK87" s="79">
        <f t="shared" si="233"/>
        <v>9.9166666666666661</v>
      </c>
      <c r="AL87" s="80">
        <f t="shared" si="233"/>
        <v>187</v>
      </c>
      <c r="AM87" s="78">
        <f t="shared" si="233"/>
        <v>9.737942583732058E-2</v>
      </c>
      <c r="AN87" s="80">
        <f t="shared" si="233"/>
        <v>143</v>
      </c>
      <c r="AO87" s="78">
        <f>AO86</f>
        <v>0.21099999999999999</v>
      </c>
      <c r="AP87" s="88">
        <f>AP86</f>
        <v>12</v>
      </c>
      <c r="AQ87" s="64">
        <f t="shared" si="195"/>
        <v>21.5</v>
      </c>
      <c r="AR87" s="64">
        <f t="shared" si="196"/>
        <v>11.5</v>
      </c>
      <c r="AS87" s="88">
        <f t="shared" si="197"/>
        <v>1.1830000000000001</v>
      </c>
      <c r="AT87" s="91">
        <f t="shared" si="89"/>
        <v>283</v>
      </c>
      <c r="AU87" s="94"/>
      <c r="AV87" s="95"/>
      <c r="AW87" s="56">
        <f t="shared" si="174"/>
        <v>0</v>
      </c>
      <c r="AX87" s="351"/>
      <c r="AY87" s="100">
        <f t="shared" si="201"/>
        <v>9.9166666666666661</v>
      </c>
      <c r="AZ87" s="360"/>
      <c r="BA87" s="91">
        <f t="shared" ref="BA87:BA97" si="234">BA86-AY87</f>
        <v>-778.11254699999938</v>
      </c>
      <c r="BB87" s="5">
        <f t="shared" si="134"/>
        <v>-9.9166666666666661</v>
      </c>
      <c r="BC87" s="363"/>
      <c r="BD87" s="91" t="e">
        <f t="shared" ca="1" si="175"/>
        <v>#N/A</v>
      </c>
      <c r="BE87" s="91" t="e">
        <f t="shared" ca="1" si="176"/>
        <v>#N/A</v>
      </c>
      <c r="BF87" s="91">
        <f t="shared" si="177"/>
        <v>31.833333333333329</v>
      </c>
      <c r="BG87" s="91" t="e">
        <f t="shared" ca="1" si="178"/>
        <v>#N/A</v>
      </c>
      <c r="BH87" s="91" t="e">
        <f t="shared" ca="1" si="221"/>
        <v>#N/A</v>
      </c>
      <c r="BI87" s="10" t="e">
        <f t="shared" ca="1" si="192"/>
        <v>#N/A</v>
      </c>
      <c r="BJ87" s="104">
        <f>((M87+Q87)*AJ87+AK87)+((U87-W87+W87/('Vergleich Holz Strom'!$B$8-0.6))*AO87+AP87)</f>
        <v>21.916666666666664</v>
      </c>
      <c r="BK87" s="10" t="e">
        <f t="shared" ca="1" si="135"/>
        <v>#N/A</v>
      </c>
      <c r="BL87" s="379"/>
      <c r="BM87" s="104" t="e">
        <f t="shared" ca="1" si="188"/>
        <v>#N/A</v>
      </c>
      <c r="BN87" s="40" t="e">
        <f ca="1">IF(ISNUMBER(BK87),BN86+SUMIF(BK86:BK97,"&lt;&gt;#NV",BK86:BK97)/COUNTIF(BK86:BK97,"&lt;&gt;#NV"),#N/A)</f>
        <v>#N/A</v>
      </c>
      <c r="BO87" s="10" t="e">
        <f t="shared" ca="1" si="230"/>
        <v>#N/A</v>
      </c>
      <c r="BP87" s="104" t="e">
        <f t="shared" ca="1" si="136"/>
        <v>#N/A</v>
      </c>
      <c r="BQ87" s="104">
        <f t="shared" ca="1" si="154"/>
        <v>-61413.50254699988</v>
      </c>
      <c r="BR87" s="10">
        <f t="shared" si="179"/>
        <v>9.9166666666666661</v>
      </c>
      <c r="BS87" s="311"/>
      <c r="BT87" s="307"/>
      <c r="BU87" s="295">
        <f t="shared" si="180"/>
        <v>0</v>
      </c>
      <c r="BV87" s="323"/>
      <c r="BW87" s="299">
        <f t="shared" si="181"/>
        <v>0</v>
      </c>
      <c r="BX87" s="295">
        <f t="shared" si="182"/>
        <v>0</v>
      </c>
      <c r="BY87" s="382"/>
      <c r="BZ87" s="299">
        <f t="shared" si="189"/>
        <v>0</v>
      </c>
      <c r="CA87" s="295">
        <f t="shared" si="193"/>
        <v>0</v>
      </c>
      <c r="CB87" s="323"/>
      <c r="CC87" s="314">
        <f>Q87/AQ87*100+BS87/AQ87*100</f>
        <v>0</v>
      </c>
      <c r="CD87" s="326"/>
      <c r="CE87" s="299">
        <f t="shared" si="183"/>
        <v>0</v>
      </c>
      <c r="CF87" s="284">
        <f>CE87-CA87</f>
        <v>0</v>
      </c>
      <c r="CG87" s="323"/>
      <c r="CH87" s="302">
        <f t="shared" si="217"/>
        <v>0</v>
      </c>
      <c r="CI87" s="108">
        <f t="shared" si="184"/>
        <v>0</v>
      </c>
      <c r="CJ87" s="200">
        <f t="shared" si="185"/>
        <v>0</v>
      </c>
      <c r="CK87" s="197">
        <f t="shared" si="199"/>
        <v>0</v>
      </c>
      <c r="CL87" s="203">
        <f t="shared" si="186"/>
        <v>12</v>
      </c>
      <c r="CM87" s="4">
        <f>U87*Jahresdaten!$AD$2</f>
        <v>0</v>
      </c>
      <c r="CN87" s="112">
        <f>CJ87*Jahresdaten!$AD$2</f>
        <v>0</v>
      </c>
      <c r="CO87" s="366"/>
      <c r="CP87" s="116">
        <f>U87*Jahresdaten!$AD$3</f>
        <v>0</v>
      </c>
      <c r="CQ87" s="12">
        <f>CJ87*Jahresdaten!$AD$3</f>
        <v>0</v>
      </c>
      <c r="CR87" s="353"/>
      <c r="CS87" s="14"/>
      <c r="CT87" s="136"/>
      <c r="CU87" s="140" t="str">
        <f>IF(CT87=0,"",CT87*'Vergleich Holz Strom'!$B$2)</f>
        <v/>
      </c>
      <c r="CV87" s="353">
        <f>SUM(CJ86:CJ97)</f>
        <v>0</v>
      </c>
      <c r="CW87" s="366"/>
      <c r="CX87" s="345"/>
      <c r="CY87" s="345"/>
      <c r="CZ87" s="345"/>
      <c r="DA87" s="348"/>
      <c r="DB87" s="94"/>
      <c r="DC87" s="88">
        <f t="shared" si="202"/>
        <v>13121.678000000011</v>
      </c>
      <c r="DD87" s="94"/>
      <c r="DE87" s="88">
        <f t="shared" si="205"/>
        <v>-9691.1125470000006</v>
      </c>
      <c r="DF87" s="100" t="e">
        <f ca="1">BE87+(SUM(CS86:CS97)/12)</f>
        <v>#N/A</v>
      </c>
      <c r="DG87" s="351"/>
      <c r="DH87" s="8">
        <f t="shared" ref="DH87:DH97" si="235">DH86+M87+S87+U87</f>
        <v>0</v>
      </c>
      <c r="DI87" s="123">
        <f t="shared" si="137"/>
        <v>3550</v>
      </c>
      <c r="DJ87" s="2">
        <f t="shared" ref="DJ87:DJ97" si="236">DJ86+M87</f>
        <v>0</v>
      </c>
      <c r="DK87" s="127">
        <f>DK97/12*2</f>
        <v>1300</v>
      </c>
      <c r="DL87" s="2">
        <f t="shared" si="114"/>
        <v>650</v>
      </c>
      <c r="DM87" s="130">
        <f t="shared" ref="DM87:DM97" si="237">DM86+S87</f>
        <v>0</v>
      </c>
      <c r="DN87" s="3">
        <f>DN97/12*2</f>
        <v>500</v>
      </c>
      <c r="DO87" s="130">
        <f t="shared" si="116"/>
        <v>250</v>
      </c>
      <c r="DP87" s="4">
        <f t="shared" ref="DP87:DP97" si="238">DP86+U87</f>
        <v>0</v>
      </c>
      <c r="DQ87" s="116">
        <f t="shared" ref="DQ87:DQ96" si="239">DQ86+DR87</f>
        <v>1750</v>
      </c>
      <c r="DR87" s="116">
        <f>DR75</f>
        <v>800</v>
      </c>
    </row>
    <row r="88" spans="1:122" ht="14.25" customHeight="1" thickBot="1" x14ac:dyDescent="0.2">
      <c r="A88" s="416"/>
      <c r="B88" s="16">
        <v>45992</v>
      </c>
      <c r="C88" s="207">
        <f>'PV-Felder'!$I$13</f>
        <v>559.9</v>
      </c>
      <c r="D88" s="351"/>
      <c r="E88" s="61">
        <v>0</v>
      </c>
      <c r="F88" s="351"/>
      <c r="G88" s="56" t="e">
        <f t="shared" ca="1" si="171"/>
        <v>#N/A</v>
      </c>
      <c r="H88" s="351"/>
      <c r="I88" s="61">
        <v>0</v>
      </c>
      <c r="J88" s="351"/>
      <c r="K88" s="61">
        <v>0</v>
      </c>
      <c r="L88" s="351"/>
      <c r="M88" s="65">
        <f t="shared" si="190"/>
        <v>0</v>
      </c>
      <c r="N88" s="373"/>
      <c r="O88" s="288"/>
      <c r="P88" s="288"/>
      <c r="Q88" s="286">
        <f t="shared" si="172"/>
        <v>0</v>
      </c>
      <c r="R88" s="334"/>
      <c r="S88" s="61">
        <v>0</v>
      </c>
      <c r="T88" s="376"/>
      <c r="U88" s="61">
        <v>0</v>
      </c>
      <c r="V88" s="342"/>
      <c r="W88" s="61">
        <v>0</v>
      </c>
      <c r="X88" s="342"/>
      <c r="Y88" s="211" t="e">
        <f t="shared" si="106"/>
        <v>#N/A</v>
      </c>
      <c r="Z88" s="370"/>
      <c r="AA88" s="61">
        <v>0</v>
      </c>
      <c r="AB88" s="351"/>
      <c r="AC88" s="61">
        <v>0</v>
      </c>
      <c r="AD88" s="351"/>
      <c r="AE88" s="73" t="e">
        <f t="shared" si="131"/>
        <v>#N/A</v>
      </c>
      <c r="AF88" s="356"/>
      <c r="AG88" s="73" t="e">
        <f t="shared" si="132"/>
        <v>#N/A</v>
      </c>
      <c r="AH88" s="356"/>
      <c r="AI88" s="221">
        <f t="shared" ref="AI88:AI96" si="240">AI87</f>
        <v>29.26</v>
      </c>
      <c r="AJ88" s="78">
        <f t="shared" ref="AJ88:AN88" si="241">AJ87</f>
        <v>0.26750000000000002</v>
      </c>
      <c r="AK88" s="79">
        <f t="shared" si="241"/>
        <v>9.9166666666666661</v>
      </c>
      <c r="AL88" s="80">
        <f t="shared" si="241"/>
        <v>187</v>
      </c>
      <c r="AM88" s="78">
        <f t="shared" si="241"/>
        <v>9.737942583732058E-2</v>
      </c>
      <c r="AN88" s="80">
        <f t="shared" si="241"/>
        <v>143</v>
      </c>
      <c r="AO88" s="78">
        <f>AO87</f>
        <v>0.21099999999999999</v>
      </c>
      <c r="AP88" s="88">
        <f>AP87</f>
        <v>12</v>
      </c>
      <c r="AQ88" s="64">
        <f t="shared" si="195"/>
        <v>21.5</v>
      </c>
      <c r="AR88" s="64">
        <f t="shared" si="196"/>
        <v>11.5</v>
      </c>
      <c r="AS88" s="88">
        <f t="shared" si="197"/>
        <v>1.1830000000000001</v>
      </c>
      <c r="AT88" s="91">
        <f t="shared" si="89"/>
        <v>283</v>
      </c>
      <c r="AU88" s="94"/>
      <c r="AV88" s="95"/>
      <c r="AW88" s="56">
        <f t="shared" si="174"/>
        <v>0</v>
      </c>
      <c r="AX88" s="351"/>
      <c r="AY88" s="100">
        <f t="shared" si="201"/>
        <v>9.9166666666666661</v>
      </c>
      <c r="AZ88" s="360"/>
      <c r="BA88" s="91">
        <f t="shared" si="234"/>
        <v>-788.02921366666601</v>
      </c>
      <c r="BB88" s="5">
        <f t="shared" si="134"/>
        <v>-9.9166666666666661</v>
      </c>
      <c r="BC88" s="363"/>
      <c r="BD88" s="91" t="e">
        <f t="shared" ca="1" si="175"/>
        <v>#N/A</v>
      </c>
      <c r="BE88" s="91" t="e">
        <f t="shared" ca="1" si="176"/>
        <v>#N/A</v>
      </c>
      <c r="BF88" s="91">
        <f t="shared" si="177"/>
        <v>31.833333333333329</v>
      </c>
      <c r="BG88" s="91" t="e">
        <f t="shared" ca="1" si="178"/>
        <v>#N/A</v>
      </c>
      <c r="BH88" s="91" t="e">
        <f t="shared" ca="1" si="221"/>
        <v>#N/A</v>
      </c>
      <c r="BI88" s="10" t="e">
        <f t="shared" ca="1" si="192"/>
        <v>#N/A</v>
      </c>
      <c r="BJ88" s="104">
        <f>((M88+Q88)*AJ88+AK88)+((U88-W88+W88/('Vergleich Holz Strom'!$B$8-0.6))*AO88+AP88)</f>
        <v>21.916666666666664</v>
      </c>
      <c r="BK88" s="10" t="e">
        <f t="shared" ca="1" si="135"/>
        <v>#N/A</v>
      </c>
      <c r="BL88" s="379"/>
      <c r="BM88" s="104" t="e">
        <f t="shared" ca="1" si="188"/>
        <v>#N/A</v>
      </c>
      <c r="BN88" s="40" t="e">
        <f ca="1">IF(ISNUMBER(BK88),BN87+SUMIF(BK86:BK97,"&lt;&gt;#NV",BK86:BK97)/COUNTIF(BK86:BK97,"&lt;&gt;#NV"),#N/A)</f>
        <v>#N/A</v>
      </c>
      <c r="BO88" s="10" t="e">
        <f t="shared" ca="1" si="230"/>
        <v>#N/A</v>
      </c>
      <c r="BP88" s="104" t="e">
        <f t="shared" ca="1" si="136"/>
        <v>#N/A</v>
      </c>
      <c r="BQ88" s="104">
        <f t="shared" ca="1" si="154"/>
        <v>-61401.50254699988</v>
      </c>
      <c r="BR88" s="10">
        <f t="shared" si="179"/>
        <v>9.9166666666666661</v>
      </c>
      <c r="BS88" s="311"/>
      <c r="BT88" s="307"/>
      <c r="BU88" s="295">
        <f t="shared" si="180"/>
        <v>0</v>
      </c>
      <c r="BV88" s="323"/>
      <c r="BW88" s="299">
        <f t="shared" si="181"/>
        <v>0</v>
      </c>
      <c r="BX88" s="295">
        <f t="shared" si="182"/>
        <v>0</v>
      </c>
      <c r="BY88" s="382"/>
      <c r="BZ88" s="299">
        <f t="shared" si="189"/>
        <v>0</v>
      </c>
      <c r="CA88" s="295">
        <f t="shared" si="193"/>
        <v>0</v>
      </c>
      <c r="CB88" s="323"/>
      <c r="CC88" s="314">
        <f t="shared" ref="CC88:CC98" si="242">Q88/AQ88*100+BS88/AQ88*100</f>
        <v>0</v>
      </c>
      <c r="CD88" s="326"/>
      <c r="CE88" s="299">
        <f t="shared" si="183"/>
        <v>0</v>
      </c>
      <c r="CF88" s="284">
        <f t="shared" ref="CF88:CF98" si="243">CE88-CA88</f>
        <v>0</v>
      </c>
      <c r="CG88" s="323"/>
      <c r="CH88" s="302">
        <f t="shared" si="217"/>
        <v>0</v>
      </c>
      <c r="CI88" s="108">
        <f t="shared" si="184"/>
        <v>0</v>
      </c>
      <c r="CJ88" s="200">
        <f t="shared" si="185"/>
        <v>0</v>
      </c>
      <c r="CK88" s="197">
        <f t="shared" si="199"/>
        <v>0</v>
      </c>
      <c r="CL88" s="203">
        <f t="shared" si="186"/>
        <v>12</v>
      </c>
      <c r="CM88" s="4">
        <f>U88*Jahresdaten!$AD$2</f>
        <v>0</v>
      </c>
      <c r="CN88" s="112">
        <f>CJ88*Jahresdaten!$AD$2</f>
        <v>0</v>
      </c>
      <c r="CO88" s="366"/>
      <c r="CP88" s="116">
        <f>U88*Jahresdaten!$AD$3</f>
        <v>0</v>
      </c>
      <c r="CQ88" s="12">
        <f>CJ88*Jahresdaten!$AD$3</f>
        <v>0</v>
      </c>
      <c r="CR88" s="353"/>
      <c r="CS88" s="14"/>
      <c r="CT88" s="136"/>
      <c r="CU88" s="140" t="str">
        <f>IF(CT88=0,"",CT88*'Vergleich Holz Strom'!$B$2)</f>
        <v/>
      </c>
      <c r="CV88" s="353"/>
      <c r="CW88" s="366"/>
      <c r="CX88" s="345"/>
      <c r="CY88" s="345"/>
      <c r="CZ88" s="345"/>
      <c r="DA88" s="348"/>
      <c r="DB88" s="94"/>
      <c r="DC88" s="88">
        <f t="shared" si="202"/>
        <v>13298.761333333345</v>
      </c>
      <c r="DD88" s="94"/>
      <c r="DE88" s="88">
        <f t="shared" si="205"/>
        <v>-9834.1125470000006</v>
      </c>
      <c r="DF88" s="100" t="e">
        <f ca="1">BE88+(SUM(CS86:CS97)/12)</f>
        <v>#N/A</v>
      </c>
      <c r="DG88" s="351"/>
      <c r="DH88" s="8">
        <f t="shared" si="235"/>
        <v>0</v>
      </c>
      <c r="DI88" s="123">
        <f t="shared" si="137"/>
        <v>5300</v>
      </c>
      <c r="DJ88" s="2">
        <f t="shared" si="236"/>
        <v>0</v>
      </c>
      <c r="DK88" s="127">
        <f>DK97/12*3</f>
        <v>1950</v>
      </c>
      <c r="DL88" s="2">
        <f t="shared" si="114"/>
        <v>650</v>
      </c>
      <c r="DM88" s="130">
        <f t="shared" si="237"/>
        <v>0</v>
      </c>
      <c r="DN88" s="3">
        <f>DN97/12*3</f>
        <v>750</v>
      </c>
      <c r="DO88" s="130">
        <f t="shared" si="116"/>
        <v>250</v>
      </c>
      <c r="DP88" s="4">
        <f t="shared" si="238"/>
        <v>0</v>
      </c>
      <c r="DQ88" s="116">
        <f t="shared" si="239"/>
        <v>2600</v>
      </c>
      <c r="DR88" s="116">
        <f t="shared" ref="DR88:DR96" si="244">DR76</f>
        <v>850.00000000000011</v>
      </c>
    </row>
    <row r="89" spans="1:122" ht="14.25" customHeight="1" thickBot="1" x14ac:dyDescent="0.2">
      <c r="A89" s="416"/>
      <c r="B89" s="16">
        <v>46023</v>
      </c>
      <c r="C89" s="207">
        <f>'PV-Felder'!$I$2</f>
        <v>660.80000000000007</v>
      </c>
      <c r="D89" s="351"/>
      <c r="E89" s="61">
        <v>0</v>
      </c>
      <c r="F89" s="351"/>
      <c r="G89" s="56" t="e">
        <f t="shared" ca="1" si="171"/>
        <v>#N/A</v>
      </c>
      <c r="H89" s="351"/>
      <c r="I89" s="61">
        <v>0</v>
      </c>
      <c r="J89" s="351"/>
      <c r="K89" s="61">
        <v>0</v>
      </c>
      <c r="L89" s="351"/>
      <c r="M89" s="65">
        <f t="shared" si="190"/>
        <v>0</v>
      </c>
      <c r="N89" s="373"/>
      <c r="O89" s="288"/>
      <c r="P89" s="288"/>
      <c r="Q89" s="286">
        <f t="shared" si="172"/>
        <v>0</v>
      </c>
      <c r="R89" s="334"/>
      <c r="S89" s="61">
        <v>0</v>
      </c>
      <c r="T89" s="376"/>
      <c r="U89" s="61">
        <v>0</v>
      </c>
      <c r="V89" s="342"/>
      <c r="W89" s="61">
        <v>0</v>
      </c>
      <c r="X89" s="342"/>
      <c r="Y89" s="211" t="e">
        <f t="shared" si="106"/>
        <v>#N/A</v>
      </c>
      <c r="Z89" s="370"/>
      <c r="AA89" s="61">
        <v>0</v>
      </c>
      <c r="AB89" s="351"/>
      <c r="AC89" s="61">
        <v>0</v>
      </c>
      <c r="AD89" s="351"/>
      <c r="AE89" s="73" t="e">
        <f t="shared" si="131"/>
        <v>#N/A</v>
      </c>
      <c r="AF89" s="356"/>
      <c r="AG89" s="73" t="e">
        <f t="shared" si="132"/>
        <v>#N/A</v>
      </c>
      <c r="AH89" s="356"/>
      <c r="AI89" s="221">
        <f t="shared" si="240"/>
        <v>29.26</v>
      </c>
      <c r="AJ89" s="78">
        <f t="shared" ref="AJ89:AP89" si="245">AJ88</f>
        <v>0.26750000000000002</v>
      </c>
      <c r="AK89" s="79">
        <f t="shared" si="245"/>
        <v>9.9166666666666661</v>
      </c>
      <c r="AL89" s="80">
        <f t="shared" si="245"/>
        <v>187</v>
      </c>
      <c r="AM89" s="78">
        <f t="shared" si="245"/>
        <v>9.737942583732058E-2</v>
      </c>
      <c r="AN89" s="80">
        <f t="shared" si="245"/>
        <v>143</v>
      </c>
      <c r="AO89" s="78">
        <f t="shared" si="245"/>
        <v>0.21099999999999999</v>
      </c>
      <c r="AP89" s="88">
        <f t="shared" si="245"/>
        <v>12</v>
      </c>
      <c r="AQ89" s="64">
        <f t="shared" si="195"/>
        <v>21.5</v>
      </c>
      <c r="AR89" s="64">
        <f t="shared" si="196"/>
        <v>11.5</v>
      </c>
      <c r="AS89" s="88">
        <f t="shared" si="197"/>
        <v>1.1830000000000001</v>
      </c>
      <c r="AT89" s="91">
        <f t="shared" si="89"/>
        <v>283</v>
      </c>
      <c r="AU89" s="94"/>
      <c r="AV89" s="95"/>
      <c r="AW89" s="56">
        <f t="shared" si="174"/>
        <v>0</v>
      </c>
      <c r="AX89" s="351"/>
      <c r="AY89" s="100">
        <f t="shared" si="201"/>
        <v>9.9166666666666661</v>
      </c>
      <c r="AZ89" s="360"/>
      <c r="BA89" s="91">
        <f t="shared" si="234"/>
        <v>-797.94588033333264</v>
      </c>
      <c r="BB89" s="5">
        <f t="shared" si="134"/>
        <v>-9.9166666666666661</v>
      </c>
      <c r="BC89" s="363"/>
      <c r="BD89" s="91" t="e">
        <f t="shared" ca="1" si="175"/>
        <v>#N/A</v>
      </c>
      <c r="BE89" s="91" t="e">
        <f t="shared" ca="1" si="176"/>
        <v>#N/A</v>
      </c>
      <c r="BF89" s="91">
        <f t="shared" si="177"/>
        <v>31.833333333333329</v>
      </c>
      <c r="BG89" s="91" t="e">
        <f t="shared" ca="1" si="178"/>
        <v>#N/A</v>
      </c>
      <c r="BH89" s="91" t="e">
        <f t="shared" ca="1" si="221"/>
        <v>#N/A</v>
      </c>
      <c r="BI89" s="10" t="e">
        <f t="shared" ca="1" si="192"/>
        <v>#N/A</v>
      </c>
      <c r="BJ89" s="104">
        <f>((M89+Q89)*AJ89+AK89)+((U89-W89+W89/('Vergleich Holz Strom'!$B$8-0.6))*AO89+AP89)</f>
        <v>21.916666666666664</v>
      </c>
      <c r="BK89" s="10" t="e">
        <f t="shared" ca="1" si="135"/>
        <v>#N/A</v>
      </c>
      <c r="BL89" s="379"/>
      <c r="BM89" s="104" t="e">
        <f t="shared" ca="1" si="188"/>
        <v>#N/A</v>
      </c>
      <c r="BN89" s="40" t="e">
        <f ca="1">IF(ISNUMBER(BK89),BN88+SUMIF(BK86:BK97,"&lt;&gt;#NV",BK86:BK97)/COUNTIF(BK86:BK97,"&lt;&gt;#NV"),#N/A)</f>
        <v>#N/A</v>
      </c>
      <c r="BO89" s="10" t="e">
        <f t="shared" ca="1" si="230"/>
        <v>#N/A</v>
      </c>
      <c r="BP89" s="104" t="e">
        <f t="shared" ca="1" si="136"/>
        <v>#N/A</v>
      </c>
      <c r="BQ89" s="104">
        <f t="shared" ca="1" si="154"/>
        <v>-61389.50254699988</v>
      </c>
      <c r="BR89" s="10">
        <f t="shared" si="179"/>
        <v>9.9166666666666661</v>
      </c>
      <c r="BS89" s="311"/>
      <c r="BT89" s="307"/>
      <c r="BU89" s="295">
        <f t="shared" si="180"/>
        <v>0</v>
      </c>
      <c r="BV89" s="323"/>
      <c r="BW89" s="299">
        <f t="shared" si="181"/>
        <v>0</v>
      </c>
      <c r="BX89" s="295">
        <f t="shared" si="182"/>
        <v>0</v>
      </c>
      <c r="BY89" s="382"/>
      <c r="BZ89" s="299">
        <f t="shared" si="189"/>
        <v>0</v>
      </c>
      <c r="CA89" s="295">
        <f t="shared" si="193"/>
        <v>0</v>
      </c>
      <c r="CB89" s="323"/>
      <c r="CC89" s="314">
        <f t="shared" si="242"/>
        <v>0</v>
      </c>
      <c r="CD89" s="326"/>
      <c r="CE89" s="299">
        <f t="shared" si="183"/>
        <v>0</v>
      </c>
      <c r="CF89" s="284">
        <f t="shared" si="243"/>
        <v>0</v>
      </c>
      <c r="CG89" s="323"/>
      <c r="CH89" s="302">
        <f t="shared" si="217"/>
        <v>0</v>
      </c>
      <c r="CI89" s="108">
        <f t="shared" si="184"/>
        <v>0</v>
      </c>
      <c r="CJ89" s="200">
        <f t="shared" si="185"/>
        <v>0</v>
      </c>
      <c r="CK89" s="197">
        <f t="shared" si="199"/>
        <v>0</v>
      </c>
      <c r="CL89" s="203">
        <f t="shared" si="186"/>
        <v>12</v>
      </c>
      <c r="CM89" s="4">
        <f>U89*Jahresdaten!$AD$2</f>
        <v>0</v>
      </c>
      <c r="CN89" s="112">
        <f>CJ89*Jahresdaten!$AD$2</f>
        <v>0</v>
      </c>
      <c r="CO89" s="366"/>
      <c r="CP89" s="116">
        <f>U89*Jahresdaten!$AD$3</f>
        <v>0</v>
      </c>
      <c r="CQ89" s="12">
        <f>CJ89*Jahresdaten!$AD$3</f>
        <v>0</v>
      </c>
      <c r="CR89" s="353"/>
      <c r="CS89" s="14"/>
      <c r="CT89" s="136"/>
      <c r="CU89" s="140" t="str">
        <f>IF(CT89=0,"",CT89*'Vergleich Holz Strom'!$B$2)</f>
        <v/>
      </c>
      <c r="CV89" s="353"/>
      <c r="CW89" s="366"/>
      <c r="CX89" s="345"/>
      <c r="CY89" s="345"/>
      <c r="CZ89" s="345"/>
      <c r="DA89" s="348"/>
      <c r="DB89" s="94"/>
      <c r="DC89" s="88">
        <f t="shared" si="202"/>
        <v>13475.844666666679</v>
      </c>
      <c r="DD89" s="94"/>
      <c r="DE89" s="88">
        <f t="shared" si="205"/>
        <v>-9977.1125470000006</v>
      </c>
      <c r="DF89" s="100" t="e">
        <f ca="1">BE89+(SUM(CS86:CS97)/12)</f>
        <v>#N/A</v>
      </c>
      <c r="DG89" s="351"/>
      <c r="DH89" s="8">
        <f t="shared" si="235"/>
        <v>0</v>
      </c>
      <c r="DI89" s="123">
        <f t="shared" si="137"/>
        <v>7350</v>
      </c>
      <c r="DJ89" s="2">
        <f t="shared" si="236"/>
        <v>0</v>
      </c>
      <c r="DK89" s="127">
        <f>DK97/12*4</f>
        <v>2600</v>
      </c>
      <c r="DL89" s="2">
        <f t="shared" si="114"/>
        <v>650</v>
      </c>
      <c r="DM89" s="130">
        <f t="shared" si="237"/>
        <v>0</v>
      </c>
      <c r="DN89" s="3">
        <f>DN97/12*4</f>
        <v>1000</v>
      </c>
      <c r="DO89" s="130">
        <f t="shared" si="116"/>
        <v>250</v>
      </c>
      <c r="DP89" s="4">
        <f t="shared" si="238"/>
        <v>0</v>
      </c>
      <c r="DQ89" s="116">
        <f t="shared" si="239"/>
        <v>3750</v>
      </c>
      <c r="DR89" s="116">
        <f t="shared" si="244"/>
        <v>1150</v>
      </c>
    </row>
    <row r="90" spans="1:122" ht="14.25" customHeight="1" thickBot="1" x14ac:dyDescent="0.2">
      <c r="A90" s="416"/>
      <c r="B90" s="16">
        <v>46054</v>
      </c>
      <c r="C90" s="207">
        <f>'PV-Felder'!$I$3</f>
        <v>922.2</v>
      </c>
      <c r="D90" s="351"/>
      <c r="E90" s="61">
        <v>0</v>
      </c>
      <c r="F90" s="351"/>
      <c r="G90" s="56" t="e">
        <f t="shared" ca="1" si="171"/>
        <v>#N/A</v>
      </c>
      <c r="H90" s="351"/>
      <c r="I90" s="61">
        <v>0</v>
      </c>
      <c r="J90" s="351"/>
      <c r="K90" s="61">
        <v>0</v>
      </c>
      <c r="L90" s="351"/>
      <c r="M90" s="65">
        <f t="shared" si="190"/>
        <v>0</v>
      </c>
      <c r="N90" s="373"/>
      <c r="O90" s="288"/>
      <c r="P90" s="288"/>
      <c r="Q90" s="286">
        <f t="shared" si="172"/>
        <v>0</v>
      </c>
      <c r="R90" s="334"/>
      <c r="S90" s="61">
        <v>0</v>
      </c>
      <c r="T90" s="376"/>
      <c r="U90" s="61">
        <v>0</v>
      </c>
      <c r="V90" s="342"/>
      <c r="W90" s="61">
        <v>0</v>
      </c>
      <c r="X90" s="342"/>
      <c r="Y90" s="211" t="e">
        <f t="shared" ref="Y90:Y101" si="246">IF(M90+S90+U90&gt;0,M90+S90+U90,#N/A)</f>
        <v>#N/A</v>
      </c>
      <c r="Z90" s="370"/>
      <c r="AA90" s="61">
        <v>0</v>
      </c>
      <c r="AB90" s="351"/>
      <c r="AC90" s="61">
        <v>0</v>
      </c>
      <c r="AD90" s="351"/>
      <c r="AE90" s="73" t="e">
        <f t="shared" si="131"/>
        <v>#N/A</v>
      </c>
      <c r="AF90" s="356"/>
      <c r="AG90" s="73" t="e">
        <f t="shared" si="132"/>
        <v>#N/A</v>
      </c>
      <c r="AH90" s="356"/>
      <c r="AI90" s="221">
        <f t="shared" si="240"/>
        <v>29.26</v>
      </c>
      <c r="AJ90" s="78">
        <f t="shared" ref="AJ90:AP90" si="247">AJ89</f>
        <v>0.26750000000000002</v>
      </c>
      <c r="AK90" s="79">
        <f t="shared" si="247"/>
        <v>9.9166666666666661</v>
      </c>
      <c r="AL90" s="80">
        <f t="shared" si="247"/>
        <v>187</v>
      </c>
      <c r="AM90" s="78">
        <f t="shared" si="247"/>
        <v>9.737942583732058E-2</v>
      </c>
      <c r="AN90" s="80">
        <f t="shared" si="247"/>
        <v>143</v>
      </c>
      <c r="AO90" s="78">
        <f t="shared" si="247"/>
        <v>0.21099999999999999</v>
      </c>
      <c r="AP90" s="88">
        <f t="shared" si="247"/>
        <v>12</v>
      </c>
      <c r="AQ90" s="64">
        <f t="shared" si="195"/>
        <v>21.5</v>
      </c>
      <c r="AR90" s="64">
        <f t="shared" si="196"/>
        <v>11.5</v>
      </c>
      <c r="AS90" s="88">
        <f t="shared" si="197"/>
        <v>1.1830000000000001</v>
      </c>
      <c r="AT90" s="91">
        <f t="shared" si="89"/>
        <v>283</v>
      </c>
      <c r="AU90" s="94"/>
      <c r="AV90" s="95"/>
      <c r="AW90" s="56">
        <f t="shared" si="174"/>
        <v>0</v>
      </c>
      <c r="AX90" s="351"/>
      <c r="AY90" s="100">
        <f t="shared" si="201"/>
        <v>9.9166666666666661</v>
      </c>
      <c r="AZ90" s="360"/>
      <c r="BA90" s="91">
        <f t="shared" si="234"/>
        <v>-807.86254699999927</v>
      </c>
      <c r="BB90" s="5">
        <f t="shared" si="134"/>
        <v>-9.9166666666666661</v>
      </c>
      <c r="BC90" s="363"/>
      <c r="BD90" s="91" t="e">
        <f t="shared" ca="1" si="175"/>
        <v>#N/A</v>
      </c>
      <c r="BE90" s="91" t="e">
        <f t="shared" ca="1" si="176"/>
        <v>#N/A</v>
      </c>
      <c r="BF90" s="91">
        <f t="shared" si="177"/>
        <v>31.833333333333329</v>
      </c>
      <c r="BG90" s="91" t="e">
        <f t="shared" ca="1" si="178"/>
        <v>#N/A</v>
      </c>
      <c r="BH90" s="91" t="e">
        <f t="shared" ca="1" si="221"/>
        <v>#N/A</v>
      </c>
      <c r="BI90" s="10" t="e">
        <f t="shared" ca="1" si="192"/>
        <v>#N/A</v>
      </c>
      <c r="BJ90" s="104">
        <f>((M90+Q90)*AJ90+AK90)+((U90-W90+W90/('Vergleich Holz Strom'!$B$8-0.6))*AO90+AP90)</f>
        <v>21.916666666666664</v>
      </c>
      <c r="BK90" s="10" t="e">
        <f t="shared" ca="1" si="135"/>
        <v>#N/A</v>
      </c>
      <c r="BL90" s="379"/>
      <c r="BM90" s="104" t="e">
        <f t="shared" ca="1" si="188"/>
        <v>#N/A</v>
      </c>
      <c r="BN90" s="40" t="e">
        <f ca="1">IF(ISNUMBER(BK90),BN89+SUMIF(BK86:BK97,"&lt;&gt;#NV",BK86:BK97)/COUNTIF(BK86:BK97,"&lt;&gt;#NV"),#N/A)</f>
        <v>#N/A</v>
      </c>
      <c r="BO90" s="10" t="e">
        <f t="shared" ca="1" si="230"/>
        <v>#N/A</v>
      </c>
      <c r="BP90" s="104" t="e">
        <f t="shared" ca="1" si="136"/>
        <v>#N/A</v>
      </c>
      <c r="BQ90" s="104">
        <f t="shared" ca="1" si="154"/>
        <v>-61370.302546999883</v>
      </c>
      <c r="BR90" s="10">
        <f t="shared" si="179"/>
        <v>9.9166666666666661</v>
      </c>
      <c r="BS90" s="311"/>
      <c r="BT90" s="307"/>
      <c r="BU90" s="295">
        <f t="shared" si="180"/>
        <v>0</v>
      </c>
      <c r="BV90" s="323"/>
      <c r="BW90" s="299">
        <f t="shared" si="181"/>
        <v>0</v>
      </c>
      <c r="BX90" s="295">
        <f t="shared" si="182"/>
        <v>0</v>
      </c>
      <c r="BY90" s="382"/>
      <c r="BZ90" s="299">
        <f t="shared" si="189"/>
        <v>0</v>
      </c>
      <c r="CA90" s="295">
        <f t="shared" si="193"/>
        <v>0</v>
      </c>
      <c r="CB90" s="323"/>
      <c r="CC90" s="314">
        <f t="shared" si="242"/>
        <v>0</v>
      </c>
      <c r="CD90" s="326"/>
      <c r="CE90" s="299">
        <f t="shared" si="183"/>
        <v>0</v>
      </c>
      <c r="CF90" s="284">
        <f t="shared" si="243"/>
        <v>0</v>
      </c>
      <c r="CG90" s="323"/>
      <c r="CH90" s="302">
        <f t="shared" si="217"/>
        <v>0</v>
      </c>
      <c r="CI90" s="108">
        <f t="shared" si="184"/>
        <v>0</v>
      </c>
      <c r="CJ90" s="200">
        <f t="shared" si="185"/>
        <v>0</v>
      </c>
      <c r="CK90" s="197">
        <f t="shared" si="199"/>
        <v>0</v>
      </c>
      <c r="CL90" s="203">
        <f t="shared" si="186"/>
        <v>12</v>
      </c>
      <c r="CM90" s="4">
        <f>U90*Jahresdaten!$AD$2</f>
        <v>0</v>
      </c>
      <c r="CN90" s="112">
        <f>CJ90*Jahresdaten!$AD$2</f>
        <v>0</v>
      </c>
      <c r="CO90" s="366"/>
      <c r="CP90" s="116">
        <f>U90*Jahresdaten!$AD$3</f>
        <v>0</v>
      </c>
      <c r="CQ90" s="12">
        <f>CJ90*Jahresdaten!$AD$3</f>
        <v>0</v>
      </c>
      <c r="CR90" s="353"/>
      <c r="CS90" s="14"/>
      <c r="CT90" s="136"/>
      <c r="CU90" s="140" t="str">
        <f>IF(CT90=0,"",CT90*'Vergleich Holz Strom'!$B$2)</f>
        <v/>
      </c>
      <c r="CV90" s="353"/>
      <c r="CW90" s="366"/>
      <c r="CX90" s="345"/>
      <c r="CY90" s="345"/>
      <c r="CZ90" s="345"/>
      <c r="DA90" s="348"/>
      <c r="DB90" s="94"/>
      <c r="DC90" s="88">
        <f t="shared" si="202"/>
        <v>13652.928000000013</v>
      </c>
      <c r="DD90" s="94"/>
      <c r="DE90" s="88">
        <f t="shared" si="205"/>
        <v>-10120.112547000001</v>
      </c>
      <c r="DF90" s="100" t="e">
        <f ca="1">BE90+(SUM(CS86:CS97)/12)</f>
        <v>#N/A</v>
      </c>
      <c r="DG90" s="351"/>
      <c r="DH90" s="8">
        <f t="shared" si="235"/>
        <v>0</v>
      </c>
      <c r="DI90" s="123">
        <f t="shared" si="137"/>
        <v>9600</v>
      </c>
      <c r="DJ90" s="2">
        <f t="shared" si="236"/>
        <v>0</v>
      </c>
      <c r="DK90" s="127">
        <f>DK97/12*5</f>
        <v>3250</v>
      </c>
      <c r="DL90" s="2">
        <f t="shared" si="114"/>
        <v>650</v>
      </c>
      <c r="DM90" s="130">
        <f t="shared" si="237"/>
        <v>0</v>
      </c>
      <c r="DN90" s="3">
        <f>DN97/12*5</f>
        <v>1250</v>
      </c>
      <c r="DO90" s="130">
        <f t="shared" si="116"/>
        <v>250</v>
      </c>
      <c r="DP90" s="4">
        <f t="shared" si="238"/>
        <v>0</v>
      </c>
      <c r="DQ90" s="116">
        <f t="shared" si="239"/>
        <v>5100</v>
      </c>
      <c r="DR90" s="116">
        <f t="shared" si="244"/>
        <v>1350</v>
      </c>
    </row>
    <row r="91" spans="1:122" ht="14.25" customHeight="1" thickBot="1" x14ac:dyDescent="0.2">
      <c r="A91" s="416"/>
      <c r="B91" s="16">
        <v>46082</v>
      </c>
      <c r="C91" s="207">
        <f>'PV-Felder'!$I$4</f>
        <v>1860</v>
      </c>
      <c r="D91" s="351"/>
      <c r="E91" s="61">
        <v>0</v>
      </c>
      <c r="F91" s="351"/>
      <c r="G91" s="56" t="e">
        <f t="shared" ca="1" si="171"/>
        <v>#N/A</v>
      </c>
      <c r="H91" s="351"/>
      <c r="I91" s="61">
        <v>0</v>
      </c>
      <c r="J91" s="351"/>
      <c r="K91" s="61">
        <v>0</v>
      </c>
      <c r="L91" s="351"/>
      <c r="M91" s="65">
        <f t="shared" si="190"/>
        <v>0</v>
      </c>
      <c r="N91" s="373"/>
      <c r="O91" s="288"/>
      <c r="P91" s="288"/>
      <c r="Q91" s="286">
        <f t="shared" si="172"/>
        <v>0</v>
      </c>
      <c r="R91" s="334"/>
      <c r="S91" s="61">
        <v>0</v>
      </c>
      <c r="T91" s="376"/>
      <c r="U91" s="61">
        <v>0</v>
      </c>
      <c r="V91" s="342"/>
      <c r="W91" s="61">
        <v>0</v>
      </c>
      <c r="X91" s="342"/>
      <c r="Y91" s="211" t="e">
        <f t="shared" si="246"/>
        <v>#N/A</v>
      </c>
      <c r="Z91" s="370"/>
      <c r="AA91" s="61">
        <v>0</v>
      </c>
      <c r="AB91" s="351"/>
      <c r="AC91" s="61">
        <v>0</v>
      </c>
      <c r="AD91" s="351"/>
      <c r="AE91" s="73" t="e">
        <f t="shared" si="131"/>
        <v>#N/A</v>
      </c>
      <c r="AF91" s="356"/>
      <c r="AG91" s="73" t="e">
        <f t="shared" si="132"/>
        <v>#N/A</v>
      </c>
      <c r="AH91" s="356"/>
      <c r="AI91" s="221">
        <f t="shared" si="240"/>
        <v>29.26</v>
      </c>
      <c r="AJ91" s="78">
        <f t="shared" ref="AJ91:AP91" si="248">AJ90</f>
        <v>0.26750000000000002</v>
      </c>
      <c r="AK91" s="79">
        <f t="shared" si="248"/>
        <v>9.9166666666666661</v>
      </c>
      <c r="AL91" s="80">
        <f t="shared" si="248"/>
        <v>187</v>
      </c>
      <c r="AM91" s="78">
        <f t="shared" si="248"/>
        <v>9.737942583732058E-2</v>
      </c>
      <c r="AN91" s="80">
        <f t="shared" si="248"/>
        <v>143</v>
      </c>
      <c r="AO91" s="78">
        <f t="shared" si="248"/>
        <v>0.21099999999999999</v>
      </c>
      <c r="AP91" s="88">
        <f t="shared" si="248"/>
        <v>12</v>
      </c>
      <c r="AQ91" s="64">
        <f t="shared" si="195"/>
        <v>21.5</v>
      </c>
      <c r="AR91" s="64">
        <f t="shared" si="196"/>
        <v>11.5</v>
      </c>
      <c r="AS91" s="88">
        <f t="shared" si="197"/>
        <v>1.1830000000000001</v>
      </c>
      <c r="AT91" s="91">
        <f t="shared" ref="AT91:AT154" si="249">AT90</f>
        <v>283</v>
      </c>
      <c r="AU91" s="94"/>
      <c r="AV91" s="95"/>
      <c r="AW91" s="56">
        <f t="shared" si="174"/>
        <v>0</v>
      </c>
      <c r="AX91" s="351"/>
      <c r="AY91" s="100">
        <f t="shared" si="201"/>
        <v>9.9166666666666661</v>
      </c>
      <c r="AZ91" s="360"/>
      <c r="BA91" s="91">
        <f t="shared" si="234"/>
        <v>-817.7792136666659</v>
      </c>
      <c r="BB91" s="5">
        <f t="shared" si="134"/>
        <v>-9.9166666666666661</v>
      </c>
      <c r="BC91" s="363"/>
      <c r="BD91" s="91" t="e">
        <f t="shared" ca="1" si="175"/>
        <v>#N/A</v>
      </c>
      <c r="BE91" s="91" t="e">
        <f t="shared" ca="1" si="176"/>
        <v>#N/A</v>
      </c>
      <c r="BF91" s="91">
        <f t="shared" si="177"/>
        <v>31.833333333333329</v>
      </c>
      <c r="BG91" s="91" t="e">
        <f t="shared" ca="1" si="178"/>
        <v>#N/A</v>
      </c>
      <c r="BH91" s="91" t="e">
        <f t="shared" ca="1" si="221"/>
        <v>#N/A</v>
      </c>
      <c r="BI91" s="10" t="e">
        <f t="shared" ca="1" si="192"/>
        <v>#N/A</v>
      </c>
      <c r="BJ91" s="104">
        <f>((M91+Q91)*AJ91+AK91)+((U91-W91+W91/('Vergleich Holz Strom'!$B$8-0.6))*AO91+AP91)</f>
        <v>21.916666666666664</v>
      </c>
      <c r="BK91" s="10" t="e">
        <f t="shared" ca="1" si="135"/>
        <v>#N/A</v>
      </c>
      <c r="BL91" s="379"/>
      <c r="BM91" s="104" t="e">
        <f t="shared" ca="1" si="188"/>
        <v>#N/A</v>
      </c>
      <c r="BN91" s="40" t="e">
        <f ca="1">IF(ISNUMBER(BK91),BN90+SUMIF(BK86:BK97,"&lt;&gt;#NV",BK86:BK97)/COUNTIF(BK86:BK97,"&lt;&gt;#NV"),#N/A)</f>
        <v>#N/A</v>
      </c>
      <c r="BO91" s="10" t="e">
        <f t="shared" ca="1" si="230"/>
        <v>#N/A</v>
      </c>
      <c r="BP91" s="104" t="e">
        <f t="shared" ca="1" si="136"/>
        <v>#N/A</v>
      </c>
      <c r="BQ91" s="104">
        <f t="shared" ca="1" si="154"/>
        <v>-61351.102546999886</v>
      </c>
      <c r="BR91" s="10">
        <f t="shared" si="179"/>
        <v>9.9166666666666661</v>
      </c>
      <c r="BS91" s="311"/>
      <c r="BT91" s="307"/>
      <c r="BU91" s="295">
        <f t="shared" si="180"/>
        <v>0</v>
      </c>
      <c r="BV91" s="323"/>
      <c r="BW91" s="299">
        <f t="shared" si="181"/>
        <v>0</v>
      </c>
      <c r="BX91" s="295">
        <f t="shared" si="182"/>
        <v>0</v>
      </c>
      <c r="BY91" s="382"/>
      <c r="BZ91" s="299">
        <f t="shared" si="189"/>
        <v>0</v>
      </c>
      <c r="CA91" s="295">
        <f t="shared" si="193"/>
        <v>0</v>
      </c>
      <c r="CB91" s="323"/>
      <c r="CC91" s="314">
        <f t="shared" si="242"/>
        <v>0</v>
      </c>
      <c r="CD91" s="326"/>
      <c r="CE91" s="299">
        <f t="shared" si="183"/>
        <v>0</v>
      </c>
      <c r="CF91" s="284">
        <f t="shared" si="243"/>
        <v>0</v>
      </c>
      <c r="CG91" s="323"/>
      <c r="CH91" s="302">
        <f t="shared" si="217"/>
        <v>0</v>
      </c>
      <c r="CI91" s="108">
        <f t="shared" si="184"/>
        <v>0</v>
      </c>
      <c r="CJ91" s="200">
        <f t="shared" si="185"/>
        <v>0</v>
      </c>
      <c r="CK91" s="197">
        <f t="shared" si="199"/>
        <v>0</v>
      </c>
      <c r="CL91" s="203">
        <f t="shared" si="186"/>
        <v>12</v>
      </c>
      <c r="CM91" s="4">
        <f>U91*Jahresdaten!$AD$2</f>
        <v>0</v>
      </c>
      <c r="CN91" s="112">
        <f>CJ91*Jahresdaten!$AD$2</f>
        <v>0</v>
      </c>
      <c r="CO91" s="366"/>
      <c r="CP91" s="116">
        <f>U91*Jahresdaten!$AD$3</f>
        <v>0</v>
      </c>
      <c r="CQ91" s="12">
        <f>CJ91*Jahresdaten!$AD$3</f>
        <v>0</v>
      </c>
      <c r="CR91" s="353"/>
      <c r="CS91" s="14"/>
      <c r="CT91" s="136"/>
      <c r="CU91" s="140" t="str">
        <f>IF(CT91=0,"",CT91*'Vergleich Holz Strom'!$B$2)</f>
        <v/>
      </c>
      <c r="CV91" s="353"/>
      <c r="CW91" s="366"/>
      <c r="CX91" s="345"/>
      <c r="CY91" s="345"/>
      <c r="CZ91" s="345"/>
      <c r="DA91" s="348"/>
      <c r="DB91" s="94"/>
      <c r="DC91" s="88">
        <f t="shared" si="202"/>
        <v>13830.011333333347</v>
      </c>
      <c r="DD91" s="94"/>
      <c r="DE91" s="88">
        <f t="shared" si="205"/>
        <v>-10263.112547000001</v>
      </c>
      <c r="DF91" s="100" t="e">
        <f ca="1">BE91+(SUM(CS86:CS97)/12)</f>
        <v>#N/A</v>
      </c>
      <c r="DG91" s="351"/>
      <c r="DH91" s="8">
        <f t="shared" si="235"/>
        <v>0</v>
      </c>
      <c r="DI91" s="123">
        <f t="shared" si="137"/>
        <v>11850</v>
      </c>
      <c r="DJ91" s="2">
        <f t="shared" si="236"/>
        <v>0</v>
      </c>
      <c r="DK91" s="127">
        <f>DK97/12*6</f>
        <v>3900</v>
      </c>
      <c r="DL91" s="2">
        <f t="shared" si="114"/>
        <v>650</v>
      </c>
      <c r="DM91" s="130">
        <f t="shared" si="237"/>
        <v>0</v>
      </c>
      <c r="DN91" s="3">
        <f>DN97/12*6</f>
        <v>1500</v>
      </c>
      <c r="DO91" s="130">
        <f t="shared" si="116"/>
        <v>250</v>
      </c>
      <c r="DP91" s="4">
        <f t="shared" si="238"/>
        <v>0</v>
      </c>
      <c r="DQ91" s="116">
        <f t="shared" si="239"/>
        <v>6450</v>
      </c>
      <c r="DR91" s="116">
        <f t="shared" si="244"/>
        <v>1350</v>
      </c>
    </row>
    <row r="92" spans="1:122" ht="15" customHeight="1" thickBot="1" x14ac:dyDescent="0.2">
      <c r="A92" s="416"/>
      <c r="B92" s="16">
        <v>46113</v>
      </c>
      <c r="C92" s="207">
        <f>'PV-Felder'!$I$5</f>
        <v>2887.3</v>
      </c>
      <c r="D92" s="351"/>
      <c r="E92" s="61">
        <v>0</v>
      </c>
      <c r="F92" s="351"/>
      <c r="G92" s="56" t="e">
        <f t="shared" ca="1" si="171"/>
        <v>#N/A</v>
      </c>
      <c r="H92" s="351"/>
      <c r="I92" s="61">
        <v>0</v>
      </c>
      <c r="J92" s="351"/>
      <c r="K92" s="61">
        <v>0</v>
      </c>
      <c r="L92" s="351"/>
      <c r="M92" s="65">
        <f t="shared" si="190"/>
        <v>0</v>
      </c>
      <c r="N92" s="373"/>
      <c r="O92" s="288"/>
      <c r="P92" s="288"/>
      <c r="Q92" s="286">
        <f t="shared" si="172"/>
        <v>0</v>
      </c>
      <c r="R92" s="334"/>
      <c r="S92" s="61">
        <v>0</v>
      </c>
      <c r="T92" s="376"/>
      <c r="U92" s="61">
        <v>0</v>
      </c>
      <c r="V92" s="342"/>
      <c r="W92" s="61">
        <v>0</v>
      </c>
      <c r="X92" s="342"/>
      <c r="Y92" s="211" t="e">
        <f t="shared" si="246"/>
        <v>#N/A</v>
      </c>
      <c r="Z92" s="370"/>
      <c r="AA92" s="61">
        <v>0</v>
      </c>
      <c r="AB92" s="351"/>
      <c r="AC92" s="61">
        <v>0</v>
      </c>
      <c r="AD92" s="351"/>
      <c r="AE92" s="73" t="e">
        <f t="shared" si="131"/>
        <v>#N/A</v>
      </c>
      <c r="AF92" s="356"/>
      <c r="AG92" s="73" t="e">
        <f t="shared" si="132"/>
        <v>#N/A</v>
      </c>
      <c r="AH92" s="356"/>
      <c r="AI92" s="221">
        <f t="shared" si="240"/>
        <v>29.26</v>
      </c>
      <c r="AJ92" s="78">
        <f t="shared" ref="AJ92:AP92" si="250">AJ91</f>
        <v>0.26750000000000002</v>
      </c>
      <c r="AK92" s="79">
        <f t="shared" si="250"/>
        <v>9.9166666666666661</v>
      </c>
      <c r="AL92" s="80">
        <f t="shared" si="250"/>
        <v>187</v>
      </c>
      <c r="AM92" s="78">
        <f t="shared" si="250"/>
        <v>9.737942583732058E-2</v>
      </c>
      <c r="AN92" s="80">
        <f t="shared" si="250"/>
        <v>143</v>
      </c>
      <c r="AO92" s="78">
        <f t="shared" si="250"/>
        <v>0.21099999999999999</v>
      </c>
      <c r="AP92" s="88">
        <f t="shared" si="250"/>
        <v>12</v>
      </c>
      <c r="AQ92" s="64">
        <f t="shared" si="195"/>
        <v>21.5</v>
      </c>
      <c r="AR92" s="64">
        <f t="shared" si="196"/>
        <v>11.5</v>
      </c>
      <c r="AS92" s="88">
        <f t="shared" si="197"/>
        <v>1.1830000000000001</v>
      </c>
      <c r="AT92" s="91">
        <f t="shared" si="249"/>
        <v>283</v>
      </c>
      <c r="AU92" s="94"/>
      <c r="AV92" s="95"/>
      <c r="AW92" s="56">
        <f t="shared" si="174"/>
        <v>0</v>
      </c>
      <c r="AX92" s="351"/>
      <c r="AY92" s="100">
        <f t="shared" si="201"/>
        <v>9.9166666666666661</v>
      </c>
      <c r="AZ92" s="360"/>
      <c r="BA92" s="91">
        <f t="shared" si="234"/>
        <v>-827.69588033333252</v>
      </c>
      <c r="BB92" s="5">
        <f t="shared" si="134"/>
        <v>-9.9166666666666661</v>
      </c>
      <c r="BC92" s="363"/>
      <c r="BD92" s="91" t="e">
        <f t="shared" ca="1" si="175"/>
        <v>#N/A</v>
      </c>
      <c r="BE92" s="91" t="e">
        <f t="shared" ca="1" si="176"/>
        <v>#N/A</v>
      </c>
      <c r="BF92" s="91">
        <f t="shared" si="177"/>
        <v>31.833333333333329</v>
      </c>
      <c r="BG92" s="91" t="e">
        <f t="shared" ca="1" si="178"/>
        <v>#N/A</v>
      </c>
      <c r="BH92" s="91" t="e">
        <f t="shared" ca="1" si="221"/>
        <v>#N/A</v>
      </c>
      <c r="BI92" s="10" t="e">
        <f t="shared" ca="1" si="192"/>
        <v>#N/A</v>
      </c>
      <c r="BJ92" s="104">
        <f>((M92+Q92)*AJ92+AK92)+((U92-W92+W92/('Vergleich Holz Strom'!$B$8-0.6))*AO92+AP92)</f>
        <v>21.916666666666664</v>
      </c>
      <c r="BK92" s="10" t="e">
        <f t="shared" ca="1" si="135"/>
        <v>#N/A</v>
      </c>
      <c r="BL92" s="379"/>
      <c r="BM92" s="104" t="e">
        <f t="shared" ca="1" si="188"/>
        <v>#N/A</v>
      </c>
      <c r="BN92" s="40" t="e">
        <f ca="1">IF(ISNUMBER(BK92),BN91+SUMIF(BK86:BK97,"&lt;&gt;#NV",BK86:BK97)/COUNTIF(BK86:BK97,"&lt;&gt;#NV"),#N/A)</f>
        <v>#N/A</v>
      </c>
      <c r="BO92" s="10" t="e">
        <f t="shared" ca="1" si="230"/>
        <v>#N/A</v>
      </c>
      <c r="BP92" s="104" t="e">
        <f t="shared" ca="1" si="136"/>
        <v>#N/A</v>
      </c>
      <c r="BQ92" s="104">
        <f t="shared" ca="1" si="154"/>
        <v>-61331.90254699986</v>
      </c>
      <c r="BR92" s="10">
        <f t="shared" si="179"/>
        <v>9.9166666666666661</v>
      </c>
      <c r="BS92" s="311"/>
      <c r="BT92" s="307"/>
      <c r="BU92" s="295">
        <f t="shared" si="180"/>
        <v>0</v>
      </c>
      <c r="BV92" s="323"/>
      <c r="BW92" s="299">
        <f t="shared" si="181"/>
        <v>0</v>
      </c>
      <c r="BX92" s="295">
        <f t="shared" si="182"/>
        <v>0</v>
      </c>
      <c r="BY92" s="382"/>
      <c r="BZ92" s="299">
        <f t="shared" si="189"/>
        <v>0</v>
      </c>
      <c r="CA92" s="295">
        <f t="shared" si="193"/>
        <v>0</v>
      </c>
      <c r="CB92" s="323"/>
      <c r="CC92" s="314">
        <f t="shared" si="242"/>
        <v>0</v>
      </c>
      <c r="CD92" s="326"/>
      <c r="CE92" s="299">
        <f t="shared" si="183"/>
        <v>0</v>
      </c>
      <c r="CF92" s="284">
        <f t="shared" si="243"/>
        <v>0</v>
      </c>
      <c r="CG92" s="323"/>
      <c r="CH92" s="302">
        <f t="shared" si="217"/>
        <v>0</v>
      </c>
      <c r="CI92" s="108">
        <f t="shared" si="184"/>
        <v>0</v>
      </c>
      <c r="CJ92" s="200">
        <f t="shared" si="185"/>
        <v>0</v>
      </c>
      <c r="CK92" s="197">
        <f t="shared" si="199"/>
        <v>0</v>
      </c>
      <c r="CL92" s="203">
        <f t="shared" si="186"/>
        <v>12</v>
      </c>
      <c r="CM92" s="4">
        <f>U92*Jahresdaten!$AD$2</f>
        <v>0</v>
      </c>
      <c r="CN92" s="112">
        <f>CJ92*Jahresdaten!$AD$2</f>
        <v>0</v>
      </c>
      <c r="CO92" s="366"/>
      <c r="CP92" s="116">
        <f>U92*Jahresdaten!$AD$3</f>
        <v>0</v>
      </c>
      <c r="CQ92" s="12">
        <f>CJ92*Jahresdaten!$AD$3</f>
        <v>0</v>
      </c>
      <c r="CR92" s="353"/>
      <c r="CS92" s="14"/>
      <c r="CT92" s="136"/>
      <c r="CU92" s="140" t="str">
        <f>IF(CT92=0,"",CT92*'Vergleich Holz Strom'!$B$2)</f>
        <v/>
      </c>
      <c r="CV92" s="121" t="s">
        <v>6</v>
      </c>
      <c r="CW92" s="366"/>
      <c r="CX92" s="345"/>
      <c r="CY92" s="345"/>
      <c r="CZ92" s="345"/>
      <c r="DA92" s="348"/>
      <c r="DB92" s="94"/>
      <c r="DC92" s="88">
        <f t="shared" si="202"/>
        <v>14007.09466666668</v>
      </c>
      <c r="DD92" s="94"/>
      <c r="DE92" s="88">
        <f t="shared" si="205"/>
        <v>-10406.112547000001</v>
      </c>
      <c r="DF92" s="100" t="e">
        <f ca="1">BE92+(SUM(CS86:CS97)/12)</f>
        <v>#N/A</v>
      </c>
      <c r="DG92" s="351"/>
      <c r="DH92" s="8">
        <f t="shared" si="235"/>
        <v>0</v>
      </c>
      <c r="DI92" s="123">
        <f t="shared" si="137"/>
        <v>14000</v>
      </c>
      <c r="DJ92" s="2">
        <f t="shared" si="236"/>
        <v>0</v>
      </c>
      <c r="DK92" s="127">
        <f>DK97/12*7</f>
        <v>4550</v>
      </c>
      <c r="DL92" s="2">
        <f t="shared" si="114"/>
        <v>650</v>
      </c>
      <c r="DM92" s="130">
        <f t="shared" si="237"/>
        <v>0</v>
      </c>
      <c r="DN92" s="3">
        <f>DN97/12*7</f>
        <v>1750</v>
      </c>
      <c r="DO92" s="130">
        <f t="shared" si="116"/>
        <v>250</v>
      </c>
      <c r="DP92" s="4">
        <f t="shared" si="238"/>
        <v>0</v>
      </c>
      <c r="DQ92" s="116">
        <f t="shared" si="239"/>
        <v>7700</v>
      </c>
      <c r="DR92" s="116">
        <f t="shared" si="244"/>
        <v>1250</v>
      </c>
    </row>
    <row r="93" spans="1:122" ht="14.25" customHeight="1" thickBot="1" x14ac:dyDescent="0.2">
      <c r="A93" s="416"/>
      <c r="B93" s="16">
        <v>46143</v>
      </c>
      <c r="C93" s="207">
        <f>'PV-Felder'!$I$6</f>
        <v>3391.3999999999996</v>
      </c>
      <c r="D93" s="351"/>
      <c r="E93" s="61">
        <v>0</v>
      </c>
      <c r="F93" s="351"/>
      <c r="G93" s="56" t="e">
        <f t="shared" ca="1" si="171"/>
        <v>#N/A</v>
      </c>
      <c r="H93" s="351"/>
      <c r="I93" s="61">
        <v>0</v>
      </c>
      <c r="J93" s="351"/>
      <c r="K93" s="61">
        <v>0</v>
      </c>
      <c r="L93" s="351"/>
      <c r="M93" s="65">
        <f t="shared" si="190"/>
        <v>0</v>
      </c>
      <c r="N93" s="373"/>
      <c r="O93" s="288"/>
      <c r="P93" s="288"/>
      <c r="Q93" s="286">
        <f t="shared" si="172"/>
        <v>0</v>
      </c>
      <c r="R93" s="334"/>
      <c r="S93" s="61">
        <v>0</v>
      </c>
      <c r="T93" s="376"/>
      <c r="U93" s="61">
        <v>0</v>
      </c>
      <c r="V93" s="342"/>
      <c r="W93" s="61">
        <v>0</v>
      </c>
      <c r="X93" s="342"/>
      <c r="Y93" s="211" t="e">
        <f t="shared" si="246"/>
        <v>#N/A</v>
      </c>
      <c r="Z93" s="370"/>
      <c r="AA93" s="61">
        <v>0</v>
      </c>
      <c r="AB93" s="351"/>
      <c r="AC93" s="61">
        <v>0</v>
      </c>
      <c r="AD93" s="351"/>
      <c r="AE93" s="73" t="e">
        <f t="shared" si="131"/>
        <v>#N/A</v>
      </c>
      <c r="AF93" s="356"/>
      <c r="AG93" s="73" t="e">
        <f t="shared" si="132"/>
        <v>#N/A</v>
      </c>
      <c r="AH93" s="356"/>
      <c r="AI93" s="221">
        <f t="shared" si="240"/>
        <v>29.26</v>
      </c>
      <c r="AJ93" s="78">
        <f t="shared" ref="AJ93:AP93" si="251">AJ92</f>
        <v>0.26750000000000002</v>
      </c>
      <c r="AK93" s="79">
        <f t="shared" si="251"/>
        <v>9.9166666666666661</v>
      </c>
      <c r="AL93" s="80">
        <f t="shared" si="251"/>
        <v>187</v>
      </c>
      <c r="AM93" s="78">
        <f t="shared" si="251"/>
        <v>9.737942583732058E-2</v>
      </c>
      <c r="AN93" s="80">
        <f t="shared" si="251"/>
        <v>143</v>
      </c>
      <c r="AO93" s="78">
        <f t="shared" si="251"/>
        <v>0.21099999999999999</v>
      </c>
      <c r="AP93" s="88">
        <f t="shared" si="251"/>
        <v>12</v>
      </c>
      <c r="AQ93" s="64">
        <f t="shared" si="195"/>
        <v>21.5</v>
      </c>
      <c r="AR93" s="64">
        <f t="shared" si="196"/>
        <v>11.5</v>
      </c>
      <c r="AS93" s="88">
        <f t="shared" si="197"/>
        <v>1.1830000000000001</v>
      </c>
      <c r="AT93" s="91">
        <f t="shared" si="249"/>
        <v>283</v>
      </c>
      <c r="AU93" s="94"/>
      <c r="AV93" s="95"/>
      <c r="AW93" s="56">
        <f t="shared" si="174"/>
        <v>0</v>
      </c>
      <c r="AX93" s="351"/>
      <c r="AY93" s="100">
        <f t="shared" si="201"/>
        <v>9.9166666666666661</v>
      </c>
      <c r="AZ93" s="360"/>
      <c r="BA93" s="91">
        <f t="shared" si="234"/>
        <v>-837.61254699999915</v>
      </c>
      <c r="BB93" s="5">
        <f t="shared" si="134"/>
        <v>-9.9166666666666661</v>
      </c>
      <c r="BC93" s="363"/>
      <c r="BD93" s="91" t="e">
        <f t="shared" ca="1" si="175"/>
        <v>#N/A</v>
      </c>
      <c r="BE93" s="91" t="e">
        <f t="shared" ca="1" si="176"/>
        <v>#N/A</v>
      </c>
      <c r="BF93" s="91">
        <f t="shared" si="177"/>
        <v>31.833333333333329</v>
      </c>
      <c r="BG93" s="91" t="e">
        <f t="shared" ca="1" si="178"/>
        <v>#N/A</v>
      </c>
      <c r="BH93" s="91" t="e">
        <f t="shared" ca="1" si="221"/>
        <v>#N/A</v>
      </c>
      <c r="BI93" s="10" t="e">
        <f t="shared" ca="1" si="192"/>
        <v>#N/A</v>
      </c>
      <c r="BJ93" s="104">
        <f>((M93+Q93)*AJ93+AK93)+((U93-W93+W93/('Vergleich Holz Strom'!$B$8-0.6))*AO93+AP93)</f>
        <v>21.916666666666664</v>
      </c>
      <c r="BK93" s="10" t="e">
        <f t="shared" ca="1" si="135"/>
        <v>#N/A</v>
      </c>
      <c r="BL93" s="379"/>
      <c r="BM93" s="104" t="e">
        <f t="shared" ca="1" si="188"/>
        <v>#N/A</v>
      </c>
      <c r="BN93" s="40" t="e">
        <f ca="1">IF(ISNUMBER(BK93),BN92+SUMIF(BK86:BK97,"&lt;&gt;#NV",BK86:BK97)/COUNTIF(BK86:BK97,"&lt;&gt;#NV"),#N/A)</f>
        <v>#N/A</v>
      </c>
      <c r="BO93" s="10" t="e">
        <f t="shared" ca="1" si="230"/>
        <v>#N/A</v>
      </c>
      <c r="BP93" s="104" t="e">
        <f t="shared" ca="1" si="136"/>
        <v>#N/A</v>
      </c>
      <c r="BQ93" s="104">
        <f t="shared" ca="1" si="154"/>
        <v>-61312.702546999848</v>
      </c>
      <c r="BR93" s="10">
        <f t="shared" si="179"/>
        <v>9.9166666666666661</v>
      </c>
      <c r="BS93" s="311"/>
      <c r="BT93" s="307"/>
      <c r="BU93" s="295">
        <f t="shared" si="180"/>
        <v>0</v>
      </c>
      <c r="BV93" s="323"/>
      <c r="BW93" s="299">
        <f t="shared" si="181"/>
        <v>0</v>
      </c>
      <c r="BX93" s="295">
        <f t="shared" si="182"/>
        <v>0</v>
      </c>
      <c r="BY93" s="382"/>
      <c r="BZ93" s="299">
        <f t="shared" si="189"/>
        <v>0</v>
      </c>
      <c r="CA93" s="295">
        <f t="shared" si="193"/>
        <v>0</v>
      </c>
      <c r="CB93" s="323"/>
      <c r="CC93" s="314">
        <f t="shared" si="242"/>
        <v>0</v>
      </c>
      <c r="CD93" s="326"/>
      <c r="CE93" s="299">
        <f t="shared" si="183"/>
        <v>0</v>
      </c>
      <c r="CF93" s="284">
        <f t="shared" si="243"/>
        <v>0</v>
      </c>
      <c r="CG93" s="323"/>
      <c r="CH93" s="302">
        <f t="shared" si="217"/>
        <v>0</v>
      </c>
      <c r="CI93" s="108">
        <f t="shared" si="184"/>
        <v>0</v>
      </c>
      <c r="CJ93" s="200">
        <f t="shared" si="185"/>
        <v>0</v>
      </c>
      <c r="CK93" s="197">
        <f t="shared" si="199"/>
        <v>0</v>
      </c>
      <c r="CL93" s="203">
        <f t="shared" si="186"/>
        <v>12</v>
      </c>
      <c r="CM93" s="4">
        <f>U93*Jahresdaten!$AD$2</f>
        <v>0</v>
      </c>
      <c r="CN93" s="112">
        <f>CJ93*Jahresdaten!$AD$2</f>
        <v>0</v>
      </c>
      <c r="CO93" s="366"/>
      <c r="CP93" s="116">
        <f>U93*Jahresdaten!$AD$3</f>
        <v>0</v>
      </c>
      <c r="CQ93" s="12">
        <f>CJ93*Jahresdaten!$AD$3</f>
        <v>0</v>
      </c>
      <c r="CR93" s="353"/>
      <c r="CS93" s="14"/>
      <c r="CT93" s="136"/>
      <c r="CU93" s="140" t="str">
        <f>IF(CT93=0,"",CT93*'Vergleich Holz Strom'!$B$2)</f>
        <v/>
      </c>
      <c r="CV93" s="353">
        <f>SUM(CS86:CS97)</f>
        <v>1169</v>
      </c>
      <c r="CW93" s="366"/>
      <c r="CX93" s="345"/>
      <c r="CY93" s="345"/>
      <c r="CZ93" s="345"/>
      <c r="DA93" s="348"/>
      <c r="DB93" s="94"/>
      <c r="DC93" s="88">
        <f t="shared" si="202"/>
        <v>14184.178000000014</v>
      </c>
      <c r="DD93" s="94"/>
      <c r="DE93" s="88">
        <f t="shared" si="205"/>
        <v>-10549.112547000001</v>
      </c>
      <c r="DF93" s="100" t="e">
        <f ca="1">BE93+(SUM(CS86:CS97)/12)</f>
        <v>#N/A</v>
      </c>
      <c r="DG93" s="351"/>
      <c r="DH93" s="8">
        <f t="shared" si="235"/>
        <v>0</v>
      </c>
      <c r="DI93" s="123">
        <f t="shared" si="137"/>
        <v>16000</v>
      </c>
      <c r="DJ93" s="2">
        <f t="shared" si="236"/>
        <v>0</v>
      </c>
      <c r="DK93" s="127">
        <f>DK97/12*8</f>
        <v>5200</v>
      </c>
      <c r="DL93" s="2">
        <f t="shared" si="114"/>
        <v>650</v>
      </c>
      <c r="DM93" s="130">
        <f t="shared" si="237"/>
        <v>0</v>
      </c>
      <c r="DN93" s="3">
        <f>DN97/12*8</f>
        <v>2000</v>
      </c>
      <c r="DO93" s="130">
        <f t="shared" si="116"/>
        <v>250</v>
      </c>
      <c r="DP93" s="4">
        <f t="shared" si="238"/>
        <v>0</v>
      </c>
      <c r="DQ93" s="116">
        <f t="shared" si="239"/>
        <v>8800</v>
      </c>
      <c r="DR93" s="116">
        <f t="shared" si="244"/>
        <v>1100</v>
      </c>
    </row>
    <row r="94" spans="1:122" ht="14.25" customHeight="1" thickBot="1" x14ac:dyDescent="0.2">
      <c r="A94" s="416"/>
      <c r="B94" s="16">
        <v>46174</v>
      </c>
      <c r="C94" s="207">
        <f>'PV-Felder'!$I$7</f>
        <v>3595.6000000000004</v>
      </c>
      <c r="D94" s="351"/>
      <c r="E94" s="61">
        <v>0</v>
      </c>
      <c r="F94" s="351"/>
      <c r="G94" s="56" t="e">
        <f t="shared" ca="1" si="171"/>
        <v>#N/A</v>
      </c>
      <c r="H94" s="351"/>
      <c r="I94" s="61">
        <v>0</v>
      </c>
      <c r="J94" s="351"/>
      <c r="K94" s="61">
        <v>0</v>
      </c>
      <c r="L94" s="351"/>
      <c r="M94" s="65">
        <f t="shared" si="190"/>
        <v>0</v>
      </c>
      <c r="N94" s="373"/>
      <c r="O94" s="288"/>
      <c r="P94" s="288"/>
      <c r="Q94" s="286">
        <f t="shared" si="172"/>
        <v>0</v>
      </c>
      <c r="R94" s="334"/>
      <c r="S94" s="61">
        <v>0</v>
      </c>
      <c r="T94" s="376"/>
      <c r="U94" s="61">
        <v>0</v>
      </c>
      <c r="V94" s="342"/>
      <c r="W94" s="61">
        <v>0</v>
      </c>
      <c r="X94" s="342"/>
      <c r="Y94" s="211" t="e">
        <f t="shared" si="246"/>
        <v>#N/A</v>
      </c>
      <c r="Z94" s="370"/>
      <c r="AA94" s="61">
        <v>0</v>
      </c>
      <c r="AB94" s="351"/>
      <c r="AC94" s="61">
        <v>0</v>
      </c>
      <c r="AD94" s="351"/>
      <c r="AE94" s="73" t="e">
        <f t="shared" si="131"/>
        <v>#N/A</v>
      </c>
      <c r="AF94" s="356"/>
      <c r="AG94" s="73" t="e">
        <f t="shared" si="132"/>
        <v>#N/A</v>
      </c>
      <c r="AH94" s="356"/>
      <c r="AI94" s="221">
        <f t="shared" si="240"/>
        <v>29.26</v>
      </c>
      <c r="AJ94" s="78">
        <f t="shared" ref="AJ94:AP94" si="252">AJ93</f>
        <v>0.26750000000000002</v>
      </c>
      <c r="AK94" s="79">
        <f t="shared" si="252"/>
        <v>9.9166666666666661</v>
      </c>
      <c r="AL94" s="80">
        <f t="shared" si="252"/>
        <v>187</v>
      </c>
      <c r="AM94" s="78">
        <f t="shared" si="252"/>
        <v>9.737942583732058E-2</v>
      </c>
      <c r="AN94" s="80">
        <f t="shared" si="252"/>
        <v>143</v>
      </c>
      <c r="AO94" s="78">
        <f t="shared" si="252"/>
        <v>0.21099999999999999</v>
      </c>
      <c r="AP94" s="88">
        <f t="shared" si="252"/>
        <v>12</v>
      </c>
      <c r="AQ94" s="64">
        <f t="shared" si="195"/>
        <v>21.5</v>
      </c>
      <c r="AR94" s="64">
        <f t="shared" si="196"/>
        <v>11.5</v>
      </c>
      <c r="AS94" s="88">
        <f t="shared" si="197"/>
        <v>1.1830000000000001</v>
      </c>
      <c r="AT94" s="91">
        <f t="shared" si="249"/>
        <v>283</v>
      </c>
      <c r="AU94" s="94"/>
      <c r="AV94" s="95"/>
      <c r="AW94" s="56">
        <f t="shared" si="174"/>
        <v>0</v>
      </c>
      <c r="AX94" s="351"/>
      <c r="AY94" s="100">
        <f t="shared" si="201"/>
        <v>9.9166666666666661</v>
      </c>
      <c r="AZ94" s="360"/>
      <c r="BA94" s="91">
        <f t="shared" si="234"/>
        <v>-847.52921366666578</v>
      </c>
      <c r="BB94" s="5">
        <f t="shared" si="134"/>
        <v>-9.9166666666666661</v>
      </c>
      <c r="BC94" s="363"/>
      <c r="BD94" s="91" t="e">
        <f t="shared" ca="1" si="175"/>
        <v>#N/A</v>
      </c>
      <c r="BE94" s="91" t="e">
        <f t="shared" ca="1" si="176"/>
        <v>#N/A</v>
      </c>
      <c r="BF94" s="91">
        <f t="shared" si="177"/>
        <v>31.833333333333329</v>
      </c>
      <c r="BG94" s="91" t="e">
        <f t="shared" ca="1" si="178"/>
        <v>#N/A</v>
      </c>
      <c r="BH94" s="91" t="e">
        <f t="shared" ca="1" si="221"/>
        <v>#N/A</v>
      </c>
      <c r="BI94" s="10" t="e">
        <f t="shared" ca="1" si="192"/>
        <v>#N/A</v>
      </c>
      <c r="BJ94" s="104">
        <f>((M94+Q94)*AJ94+AK94)+((U94-W94+W94/('Vergleich Holz Strom'!$B$8-0.6))*AO94+AP94)</f>
        <v>21.916666666666664</v>
      </c>
      <c r="BK94" s="10" t="e">
        <f t="shared" ca="1" si="135"/>
        <v>#N/A</v>
      </c>
      <c r="BL94" s="379"/>
      <c r="BM94" s="104" t="e">
        <f t="shared" ca="1" si="188"/>
        <v>#N/A</v>
      </c>
      <c r="BN94" s="40" t="e">
        <f ca="1">IF(ISNUMBER(BK94),BN93+SUMIF(BK86:BK97,"&lt;&gt;#NV",BK86:BK97)/COUNTIF(BK86:BK97,"&lt;&gt;#NV"),#N/A)</f>
        <v>#N/A</v>
      </c>
      <c r="BO94" s="10" t="e">
        <f t="shared" ca="1" si="230"/>
        <v>#N/A</v>
      </c>
      <c r="BP94" s="104" t="e">
        <f t="shared" ca="1" si="136"/>
        <v>#N/A</v>
      </c>
      <c r="BQ94" s="104">
        <f t="shared" ca="1" si="154"/>
        <v>-61296.569213666517</v>
      </c>
      <c r="BR94" s="10">
        <f t="shared" si="179"/>
        <v>9.9166666666666661</v>
      </c>
      <c r="BS94" s="311"/>
      <c r="BT94" s="307"/>
      <c r="BU94" s="295">
        <f t="shared" si="180"/>
        <v>0</v>
      </c>
      <c r="BV94" s="323"/>
      <c r="BW94" s="299">
        <f t="shared" si="181"/>
        <v>0</v>
      </c>
      <c r="BX94" s="295">
        <f t="shared" si="182"/>
        <v>0</v>
      </c>
      <c r="BY94" s="382"/>
      <c r="BZ94" s="299">
        <f t="shared" si="189"/>
        <v>0</v>
      </c>
      <c r="CA94" s="295">
        <f t="shared" si="193"/>
        <v>0</v>
      </c>
      <c r="CB94" s="323"/>
      <c r="CC94" s="314">
        <f t="shared" si="242"/>
        <v>0</v>
      </c>
      <c r="CD94" s="326"/>
      <c r="CE94" s="299">
        <f t="shared" si="183"/>
        <v>0</v>
      </c>
      <c r="CF94" s="284">
        <f t="shared" si="243"/>
        <v>0</v>
      </c>
      <c r="CG94" s="323"/>
      <c r="CH94" s="302">
        <f t="shared" si="217"/>
        <v>0</v>
      </c>
      <c r="CI94" s="108">
        <f t="shared" si="184"/>
        <v>0</v>
      </c>
      <c r="CJ94" s="200">
        <f t="shared" si="185"/>
        <v>0</v>
      </c>
      <c r="CK94" s="197">
        <f t="shared" si="199"/>
        <v>0</v>
      </c>
      <c r="CL94" s="203">
        <f t="shared" si="186"/>
        <v>12</v>
      </c>
      <c r="CM94" s="4">
        <f>U94*Jahresdaten!$AD$2</f>
        <v>0</v>
      </c>
      <c r="CN94" s="112">
        <f>CJ94*Jahresdaten!$AD$2</f>
        <v>0</v>
      </c>
      <c r="CO94" s="366"/>
      <c r="CP94" s="116">
        <f>U94*Jahresdaten!$AD$3</f>
        <v>0</v>
      </c>
      <c r="CQ94" s="12">
        <f>CJ94*Jahresdaten!$AD$3</f>
        <v>0</v>
      </c>
      <c r="CR94" s="353"/>
      <c r="CS94" s="14"/>
      <c r="CT94" s="136"/>
      <c r="CU94" s="140" t="str">
        <f>IF(CT94=0,"",CT94*'Vergleich Holz Strom'!$B$2)</f>
        <v/>
      </c>
      <c r="CV94" s="353"/>
      <c r="CW94" s="366"/>
      <c r="CX94" s="345"/>
      <c r="CY94" s="345"/>
      <c r="CZ94" s="345"/>
      <c r="DA94" s="348"/>
      <c r="DB94" s="94"/>
      <c r="DC94" s="88">
        <f t="shared" si="202"/>
        <v>14361.261333333348</v>
      </c>
      <c r="DD94" s="94"/>
      <c r="DE94" s="88">
        <f t="shared" si="205"/>
        <v>-10692.112547000001</v>
      </c>
      <c r="DF94" s="100" t="e">
        <f ca="1">BE94+(SUM(CS86:CS97)/12)</f>
        <v>#N/A</v>
      </c>
      <c r="DG94" s="351"/>
      <c r="DH94" s="8">
        <f t="shared" si="235"/>
        <v>0</v>
      </c>
      <c r="DI94" s="123">
        <f t="shared" si="137"/>
        <v>17200</v>
      </c>
      <c r="DJ94" s="2">
        <f t="shared" si="236"/>
        <v>0</v>
      </c>
      <c r="DK94" s="127">
        <f>DK97/12*9</f>
        <v>5850</v>
      </c>
      <c r="DL94" s="2">
        <f t="shared" si="114"/>
        <v>650</v>
      </c>
      <c r="DM94" s="130">
        <f t="shared" si="237"/>
        <v>0</v>
      </c>
      <c r="DN94" s="3">
        <f>DN97/12*9</f>
        <v>2250</v>
      </c>
      <c r="DO94" s="130">
        <f t="shared" si="116"/>
        <v>250</v>
      </c>
      <c r="DP94" s="4">
        <f t="shared" si="238"/>
        <v>0</v>
      </c>
      <c r="DQ94" s="116">
        <f t="shared" si="239"/>
        <v>9100</v>
      </c>
      <c r="DR94" s="116">
        <f t="shared" si="244"/>
        <v>300</v>
      </c>
    </row>
    <row r="95" spans="1:122" ht="14.25" customHeight="1" thickBot="1" x14ac:dyDescent="0.2">
      <c r="A95" s="416"/>
      <c r="B95" s="16">
        <v>46204</v>
      </c>
      <c r="C95" s="207">
        <f>'PV-Felder'!$I$8</f>
        <v>3593.8</v>
      </c>
      <c r="D95" s="351"/>
      <c r="E95" s="61">
        <v>0</v>
      </c>
      <c r="F95" s="351"/>
      <c r="G95" s="56" t="e">
        <f t="shared" ca="1" si="171"/>
        <v>#N/A</v>
      </c>
      <c r="H95" s="351"/>
      <c r="I95" s="61">
        <v>0</v>
      </c>
      <c r="J95" s="351"/>
      <c r="K95" s="61">
        <v>0</v>
      </c>
      <c r="L95" s="351"/>
      <c r="M95" s="65">
        <f t="shared" si="190"/>
        <v>0</v>
      </c>
      <c r="N95" s="373"/>
      <c r="O95" s="288"/>
      <c r="P95" s="288"/>
      <c r="Q95" s="286">
        <f t="shared" si="172"/>
        <v>0</v>
      </c>
      <c r="R95" s="334"/>
      <c r="S95" s="61">
        <v>0</v>
      </c>
      <c r="T95" s="376"/>
      <c r="U95" s="61">
        <v>0</v>
      </c>
      <c r="V95" s="342"/>
      <c r="W95" s="61">
        <v>0</v>
      </c>
      <c r="X95" s="342"/>
      <c r="Y95" s="211" t="e">
        <f t="shared" si="246"/>
        <v>#N/A</v>
      </c>
      <c r="Z95" s="370"/>
      <c r="AA95" s="61">
        <v>0</v>
      </c>
      <c r="AB95" s="351"/>
      <c r="AC95" s="61">
        <v>0</v>
      </c>
      <c r="AD95" s="351"/>
      <c r="AE95" s="73" t="e">
        <f t="shared" si="131"/>
        <v>#N/A</v>
      </c>
      <c r="AF95" s="356"/>
      <c r="AG95" s="73" t="e">
        <f t="shared" si="132"/>
        <v>#N/A</v>
      </c>
      <c r="AH95" s="356"/>
      <c r="AI95" s="221">
        <f t="shared" si="240"/>
        <v>29.26</v>
      </c>
      <c r="AJ95" s="78">
        <f t="shared" ref="AJ95:AP95" si="253">AJ94</f>
        <v>0.26750000000000002</v>
      </c>
      <c r="AK95" s="79">
        <f t="shared" si="253"/>
        <v>9.9166666666666661</v>
      </c>
      <c r="AL95" s="80">
        <f t="shared" si="253"/>
        <v>187</v>
      </c>
      <c r="AM95" s="78">
        <f t="shared" si="253"/>
        <v>9.737942583732058E-2</v>
      </c>
      <c r="AN95" s="80">
        <f t="shared" si="253"/>
        <v>143</v>
      </c>
      <c r="AO95" s="78">
        <f t="shared" si="253"/>
        <v>0.21099999999999999</v>
      </c>
      <c r="AP95" s="88">
        <f t="shared" si="253"/>
        <v>12</v>
      </c>
      <c r="AQ95" s="64">
        <f t="shared" si="195"/>
        <v>21.5</v>
      </c>
      <c r="AR95" s="64">
        <f t="shared" si="196"/>
        <v>11.5</v>
      </c>
      <c r="AS95" s="88">
        <f t="shared" si="197"/>
        <v>1.1830000000000001</v>
      </c>
      <c r="AT95" s="91">
        <f t="shared" si="249"/>
        <v>283</v>
      </c>
      <c r="AU95" s="94"/>
      <c r="AV95" s="95"/>
      <c r="AW95" s="56">
        <f t="shared" si="174"/>
        <v>0</v>
      </c>
      <c r="AX95" s="351"/>
      <c r="AY95" s="100">
        <f t="shared" si="201"/>
        <v>9.9166666666666661</v>
      </c>
      <c r="AZ95" s="360"/>
      <c r="BA95" s="91">
        <f t="shared" si="234"/>
        <v>-857.44588033333241</v>
      </c>
      <c r="BB95" s="5">
        <f t="shared" si="134"/>
        <v>-9.9166666666666661</v>
      </c>
      <c r="BC95" s="363"/>
      <c r="BD95" s="91" t="e">
        <f t="shared" ca="1" si="175"/>
        <v>#N/A</v>
      </c>
      <c r="BE95" s="91" t="e">
        <f t="shared" ca="1" si="176"/>
        <v>#N/A</v>
      </c>
      <c r="BF95" s="91">
        <f t="shared" si="177"/>
        <v>31.833333333333329</v>
      </c>
      <c r="BG95" s="91" t="e">
        <f t="shared" ca="1" si="178"/>
        <v>#N/A</v>
      </c>
      <c r="BH95" s="91" t="e">
        <f t="shared" ca="1" si="221"/>
        <v>#N/A</v>
      </c>
      <c r="BI95" s="10" t="e">
        <f t="shared" ca="1" si="192"/>
        <v>#N/A</v>
      </c>
      <c r="BJ95" s="104">
        <f>((M95+Q95)*AJ95+AK95)+((U95-W95+W95/('Vergleich Holz Strom'!$B$8-0.6))*AO95+AP95)</f>
        <v>21.916666666666664</v>
      </c>
      <c r="BK95" s="10" t="e">
        <f t="shared" ca="1" si="135"/>
        <v>#N/A</v>
      </c>
      <c r="BL95" s="379"/>
      <c r="BM95" s="104" t="e">
        <f t="shared" ca="1" si="188"/>
        <v>#N/A</v>
      </c>
      <c r="BN95" s="40" t="e">
        <f ca="1">IF(ISNUMBER(BK95),BN94+SUMIF(BK86:BK97,"&lt;&gt;#NV",BK86:BK97)/COUNTIF(BK86:BK97,"&lt;&gt;#NV"),#N/A)</f>
        <v>#N/A</v>
      </c>
      <c r="BO95" s="10" t="e">
        <f ca="1">BK95+AT95+AU95</f>
        <v>#N/A</v>
      </c>
      <c r="BP95" s="104" t="e">
        <f t="shared" ca="1" si="136"/>
        <v>#N/A</v>
      </c>
      <c r="BQ95" s="104">
        <f t="shared" ca="1" si="154"/>
        <v>-61280.435880333185</v>
      </c>
      <c r="BR95" s="10">
        <f t="shared" si="179"/>
        <v>9.9166666666666661</v>
      </c>
      <c r="BS95" s="311"/>
      <c r="BT95" s="307"/>
      <c r="BU95" s="295">
        <f t="shared" si="180"/>
        <v>0</v>
      </c>
      <c r="BV95" s="323"/>
      <c r="BW95" s="299">
        <f t="shared" si="181"/>
        <v>0</v>
      </c>
      <c r="BX95" s="295">
        <f t="shared" si="182"/>
        <v>0</v>
      </c>
      <c r="BY95" s="382"/>
      <c r="BZ95" s="299">
        <f t="shared" si="189"/>
        <v>0</v>
      </c>
      <c r="CA95" s="295">
        <f t="shared" si="193"/>
        <v>0</v>
      </c>
      <c r="CB95" s="323"/>
      <c r="CC95" s="314">
        <f t="shared" si="242"/>
        <v>0</v>
      </c>
      <c r="CD95" s="326"/>
      <c r="CE95" s="299">
        <f t="shared" si="183"/>
        <v>0</v>
      </c>
      <c r="CF95" s="284">
        <f t="shared" si="243"/>
        <v>0</v>
      </c>
      <c r="CG95" s="323"/>
      <c r="CH95" s="302">
        <f t="shared" si="217"/>
        <v>0</v>
      </c>
      <c r="CI95" s="108">
        <f t="shared" si="184"/>
        <v>0</v>
      </c>
      <c r="CJ95" s="200">
        <f t="shared" si="185"/>
        <v>0</v>
      </c>
      <c r="CK95" s="197">
        <f t="shared" si="199"/>
        <v>0</v>
      </c>
      <c r="CL95" s="203">
        <f t="shared" si="186"/>
        <v>12</v>
      </c>
      <c r="CM95" s="4">
        <f>U95*Jahresdaten!$AD$2</f>
        <v>0</v>
      </c>
      <c r="CN95" s="112">
        <f>CJ95*Jahresdaten!$AD$2</f>
        <v>0</v>
      </c>
      <c r="CO95" s="366"/>
      <c r="CP95" s="116">
        <f>U95*Jahresdaten!$AD$3</f>
        <v>0</v>
      </c>
      <c r="CQ95" s="12">
        <f>CJ95*Jahresdaten!$AD$3</f>
        <v>0</v>
      </c>
      <c r="CR95" s="353"/>
      <c r="CS95" s="14"/>
      <c r="CT95" s="136"/>
      <c r="CU95" s="140" t="str">
        <f>IF(CT95=0,"",CT95*'Vergleich Holz Strom'!$B$2)</f>
        <v/>
      </c>
      <c r="CV95" s="353"/>
      <c r="CW95" s="366"/>
      <c r="CX95" s="345"/>
      <c r="CY95" s="345"/>
      <c r="CZ95" s="345"/>
      <c r="DA95" s="348"/>
      <c r="DB95" s="94"/>
      <c r="DC95" s="88">
        <f t="shared" si="202"/>
        <v>14538.344666666682</v>
      </c>
      <c r="DD95" s="94"/>
      <c r="DE95" s="88">
        <f t="shared" si="205"/>
        <v>-10835.112547000001</v>
      </c>
      <c r="DF95" s="100" t="e">
        <f ca="1">BE95+(SUM(CS86:CS97)/12)</f>
        <v>#N/A</v>
      </c>
      <c r="DG95" s="351"/>
      <c r="DH95" s="8">
        <f t="shared" si="235"/>
        <v>0</v>
      </c>
      <c r="DI95" s="123">
        <f t="shared" si="137"/>
        <v>18250</v>
      </c>
      <c r="DJ95" s="2">
        <f t="shared" si="236"/>
        <v>0</v>
      </c>
      <c r="DK95" s="127">
        <f>DK97/12*10</f>
        <v>6500</v>
      </c>
      <c r="DL95" s="2">
        <f t="shared" si="114"/>
        <v>650</v>
      </c>
      <c r="DM95" s="130">
        <f t="shared" si="237"/>
        <v>0</v>
      </c>
      <c r="DN95" s="3">
        <f>DN97/12*10</f>
        <v>2500</v>
      </c>
      <c r="DO95" s="130">
        <f t="shared" si="116"/>
        <v>250</v>
      </c>
      <c r="DP95" s="4">
        <f t="shared" si="238"/>
        <v>0</v>
      </c>
      <c r="DQ95" s="116">
        <f t="shared" si="239"/>
        <v>9250</v>
      </c>
      <c r="DR95" s="116">
        <f t="shared" si="244"/>
        <v>150</v>
      </c>
    </row>
    <row r="96" spans="1:122" ht="14.25" customHeight="1" thickBot="1" x14ac:dyDescent="0.2">
      <c r="A96" s="416"/>
      <c r="B96" s="16">
        <v>46235</v>
      </c>
      <c r="C96" s="207">
        <f>'PV-Felder'!$I$9</f>
        <v>3065.7</v>
      </c>
      <c r="D96" s="351"/>
      <c r="E96" s="61">
        <v>0</v>
      </c>
      <c r="F96" s="351"/>
      <c r="G96" s="56" t="e">
        <f t="shared" ca="1" si="171"/>
        <v>#N/A</v>
      </c>
      <c r="H96" s="351"/>
      <c r="I96" s="61">
        <v>0</v>
      </c>
      <c r="J96" s="351"/>
      <c r="K96" s="61">
        <v>0</v>
      </c>
      <c r="L96" s="351"/>
      <c r="M96" s="65">
        <f t="shared" si="190"/>
        <v>0</v>
      </c>
      <c r="N96" s="373"/>
      <c r="O96" s="288"/>
      <c r="P96" s="288"/>
      <c r="Q96" s="286">
        <f t="shared" si="172"/>
        <v>0</v>
      </c>
      <c r="R96" s="334"/>
      <c r="S96" s="61">
        <v>0</v>
      </c>
      <c r="T96" s="376"/>
      <c r="U96" s="61">
        <v>0</v>
      </c>
      <c r="V96" s="342"/>
      <c r="W96" s="61">
        <v>0</v>
      </c>
      <c r="X96" s="342"/>
      <c r="Y96" s="211" t="e">
        <f t="shared" si="246"/>
        <v>#N/A</v>
      </c>
      <c r="Z96" s="370"/>
      <c r="AA96" s="61">
        <v>0</v>
      </c>
      <c r="AB96" s="351"/>
      <c r="AC96" s="61">
        <v>0</v>
      </c>
      <c r="AD96" s="351"/>
      <c r="AE96" s="73" t="e">
        <f t="shared" si="131"/>
        <v>#N/A</v>
      </c>
      <c r="AF96" s="356"/>
      <c r="AG96" s="73" t="e">
        <f t="shared" si="132"/>
        <v>#N/A</v>
      </c>
      <c r="AH96" s="356"/>
      <c r="AI96" s="221">
        <f t="shared" si="240"/>
        <v>29.26</v>
      </c>
      <c r="AJ96" s="78">
        <f t="shared" ref="AJ96:AP96" si="254">AJ95</f>
        <v>0.26750000000000002</v>
      </c>
      <c r="AK96" s="79">
        <f t="shared" si="254"/>
        <v>9.9166666666666661</v>
      </c>
      <c r="AL96" s="80">
        <f t="shared" si="254"/>
        <v>187</v>
      </c>
      <c r="AM96" s="78">
        <f t="shared" si="254"/>
        <v>9.737942583732058E-2</v>
      </c>
      <c r="AN96" s="80">
        <f t="shared" si="254"/>
        <v>143</v>
      </c>
      <c r="AO96" s="78">
        <f t="shared" si="254"/>
        <v>0.21099999999999999</v>
      </c>
      <c r="AP96" s="88">
        <f t="shared" si="254"/>
        <v>12</v>
      </c>
      <c r="AQ96" s="64">
        <f t="shared" si="195"/>
        <v>21.5</v>
      </c>
      <c r="AR96" s="64">
        <f t="shared" si="196"/>
        <v>11.5</v>
      </c>
      <c r="AS96" s="88">
        <f t="shared" si="197"/>
        <v>1.1830000000000001</v>
      </c>
      <c r="AT96" s="91">
        <f t="shared" si="249"/>
        <v>283</v>
      </c>
      <c r="AU96" s="94"/>
      <c r="AV96" s="95"/>
      <c r="AW96" s="56">
        <f t="shared" si="174"/>
        <v>0</v>
      </c>
      <c r="AX96" s="351"/>
      <c r="AY96" s="100">
        <f t="shared" si="201"/>
        <v>9.9166666666666661</v>
      </c>
      <c r="AZ96" s="360"/>
      <c r="BA96" s="91">
        <f t="shared" si="234"/>
        <v>-867.36254699999904</v>
      </c>
      <c r="BB96" s="5">
        <f t="shared" si="134"/>
        <v>-9.9166666666666661</v>
      </c>
      <c r="BC96" s="363"/>
      <c r="BD96" s="91" t="e">
        <f t="shared" ca="1" si="175"/>
        <v>#N/A</v>
      </c>
      <c r="BE96" s="91" t="e">
        <f t="shared" ca="1" si="176"/>
        <v>#N/A</v>
      </c>
      <c r="BF96" s="91">
        <f t="shared" si="177"/>
        <v>31.833333333333329</v>
      </c>
      <c r="BG96" s="91" t="e">
        <f t="shared" ca="1" si="178"/>
        <v>#N/A</v>
      </c>
      <c r="BH96" s="91" t="e">
        <f t="shared" ca="1" si="221"/>
        <v>#N/A</v>
      </c>
      <c r="BI96" s="10" t="e">
        <f t="shared" ca="1" si="192"/>
        <v>#N/A</v>
      </c>
      <c r="BJ96" s="104">
        <f>((M96+Q96)*AJ96+AK96)+((U96-W96+W96/('Vergleich Holz Strom'!$B$8-0.6))*AO96+AP96)</f>
        <v>21.916666666666664</v>
      </c>
      <c r="BK96" s="10" t="e">
        <f t="shared" ca="1" si="135"/>
        <v>#N/A</v>
      </c>
      <c r="BL96" s="379"/>
      <c r="BM96" s="104" t="e">
        <f t="shared" ca="1" si="188"/>
        <v>#N/A</v>
      </c>
      <c r="BN96" s="40" t="e">
        <f ca="1">IF(ISNUMBER(BK96),BN95+SUMIF(BK86:BK97,"&lt;&gt;#NV",BK86:BK97)/COUNTIF(BK86:BK97,"&lt;&gt;#NV"),#N/A)</f>
        <v>#N/A</v>
      </c>
      <c r="BO96" s="10" t="e">
        <f t="shared" ref="BO96:BO106" ca="1" si="255">BK96+AT96+AU96</f>
        <v>#N/A</v>
      </c>
      <c r="BP96" s="104" t="e">
        <f t="shared" ca="1" si="136"/>
        <v>#N/A</v>
      </c>
      <c r="BQ96" s="104">
        <f t="shared" ca="1" si="154"/>
        <v>-61264.302546999854</v>
      </c>
      <c r="BR96" s="10">
        <f t="shared" si="179"/>
        <v>9.9166666666666661</v>
      </c>
      <c r="BS96" s="311"/>
      <c r="BT96" s="307"/>
      <c r="BU96" s="295">
        <f t="shared" si="180"/>
        <v>0</v>
      </c>
      <c r="BV96" s="323"/>
      <c r="BW96" s="299">
        <f t="shared" si="181"/>
        <v>0</v>
      </c>
      <c r="BX96" s="295">
        <f t="shared" si="182"/>
        <v>0</v>
      </c>
      <c r="BY96" s="382"/>
      <c r="BZ96" s="299">
        <f t="shared" si="189"/>
        <v>0</v>
      </c>
      <c r="CA96" s="295">
        <f t="shared" si="193"/>
        <v>0</v>
      </c>
      <c r="CB96" s="323"/>
      <c r="CC96" s="314">
        <f t="shared" si="242"/>
        <v>0</v>
      </c>
      <c r="CD96" s="326"/>
      <c r="CE96" s="299">
        <f t="shared" si="183"/>
        <v>0</v>
      </c>
      <c r="CF96" s="284">
        <f t="shared" si="243"/>
        <v>0</v>
      </c>
      <c r="CG96" s="323"/>
      <c r="CH96" s="302">
        <f t="shared" si="217"/>
        <v>0</v>
      </c>
      <c r="CI96" s="108">
        <f t="shared" si="184"/>
        <v>0</v>
      </c>
      <c r="CJ96" s="200">
        <f t="shared" si="185"/>
        <v>0</v>
      </c>
      <c r="CK96" s="197">
        <f t="shared" si="199"/>
        <v>0</v>
      </c>
      <c r="CL96" s="203">
        <f t="shared" si="186"/>
        <v>12</v>
      </c>
      <c r="CM96" s="4">
        <f>U96*Jahresdaten!$AD$2</f>
        <v>0</v>
      </c>
      <c r="CN96" s="112">
        <f>CJ96*Jahresdaten!$AD$2</f>
        <v>0</v>
      </c>
      <c r="CO96" s="366"/>
      <c r="CP96" s="116">
        <f>U96*Jahresdaten!$AD$3</f>
        <v>0</v>
      </c>
      <c r="CQ96" s="12">
        <f>CJ96*Jahresdaten!$AD$3</f>
        <v>0</v>
      </c>
      <c r="CR96" s="353"/>
      <c r="CS96" s="14"/>
      <c r="CT96" s="136"/>
      <c r="CU96" s="140" t="str">
        <f>IF(CT96=0,"",CT96*'Vergleich Holz Strom'!$B$2)</f>
        <v/>
      </c>
      <c r="CV96" s="353"/>
      <c r="CW96" s="366"/>
      <c r="CX96" s="345"/>
      <c r="CY96" s="345"/>
      <c r="CZ96" s="345"/>
      <c r="DA96" s="348"/>
      <c r="DB96" s="94"/>
      <c r="DC96" s="88">
        <f t="shared" si="202"/>
        <v>14715.428000000016</v>
      </c>
      <c r="DD96" s="94"/>
      <c r="DE96" s="88">
        <f t="shared" si="205"/>
        <v>-10978.112547000001</v>
      </c>
      <c r="DF96" s="100" t="e">
        <f ca="1">BE96+(SUM(CS86:CS97)/12)</f>
        <v>#N/A</v>
      </c>
      <c r="DG96" s="351"/>
      <c r="DH96" s="8">
        <f t="shared" si="235"/>
        <v>0</v>
      </c>
      <c r="DI96" s="123">
        <f t="shared" si="137"/>
        <v>19300</v>
      </c>
      <c r="DJ96" s="2">
        <f t="shared" si="236"/>
        <v>0</v>
      </c>
      <c r="DK96" s="127">
        <f>DK97/12*11</f>
        <v>7150</v>
      </c>
      <c r="DL96" s="2">
        <f t="shared" si="114"/>
        <v>650</v>
      </c>
      <c r="DM96" s="130">
        <f t="shared" si="237"/>
        <v>0</v>
      </c>
      <c r="DN96" s="3">
        <f>DN97/12*11</f>
        <v>2750</v>
      </c>
      <c r="DO96" s="130">
        <f t="shared" si="116"/>
        <v>250</v>
      </c>
      <c r="DP96" s="4">
        <f t="shared" si="238"/>
        <v>0</v>
      </c>
      <c r="DQ96" s="116">
        <f t="shared" si="239"/>
        <v>9400</v>
      </c>
      <c r="DR96" s="116">
        <f t="shared" si="244"/>
        <v>150</v>
      </c>
    </row>
    <row r="97" spans="1:122" s="28" customFormat="1" ht="15" customHeight="1" thickBot="1" x14ac:dyDescent="0.2">
      <c r="A97" s="417"/>
      <c r="B97" s="18">
        <v>46266</v>
      </c>
      <c r="C97" s="208">
        <f>'PV-Felder'!$I$10</f>
        <v>2246.7000000000003</v>
      </c>
      <c r="D97" s="352"/>
      <c r="E97" s="63">
        <v>0</v>
      </c>
      <c r="F97" s="352"/>
      <c r="G97" s="57" t="e">
        <f t="shared" ca="1" si="171"/>
        <v>#N/A</v>
      </c>
      <c r="H97" s="352"/>
      <c r="I97" s="63">
        <v>0</v>
      </c>
      <c r="J97" s="352"/>
      <c r="K97" s="63">
        <v>0</v>
      </c>
      <c r="L97" s="352"/>
      <c r="M97" s="67">
        <f t="shared" si="190"/>
        <v>0</v>
      </c>
      <c r="N97" s="374"/>
      <c r="O97" s="290"/>
      <c r="P97" s="290"/>
      <c r="Q97" s="289">
        <f t="shared" si="172"/>
        <v>0</v>
      </c>
      <c r="R97" s="334"/>
      <c r="S97" s="63">
        <v>0</v>
      </c>
      <c r="T97" s="377"/>
      <c r="U97" s="63">
        <v>0</v>
      </c>
      <c r="V97" s="343"/>
      <c r="W97" s="63">
        <v>0</v>
      </c>
      <c r="X97" s="343"/>
      <c r="Y97" s="213" t="e">
        <f t="shared" si="246"/>
        <v>#N/A</v>
      </c>
      <c r="Z97" s="371"/>
      <c r="AA97" s="63">
        <v>0</v>
      </c>
      <c r="AB97" s="352"/>
      <c r="AC97" s="63">
        <v>0</v>
      </c>
      <c r="AD97" s="352"/>
      <c r="AE97" s="75" t="e">
        <f t="shared" si="131"/>
        <v>#N/A</v>
      </c>
      <c r="AF97" s="357"/>
      <c r="AG97" s="75" t="e">
        <f t="shared" si="132"/>
        <v>#N/A</v>
      </c>
      <c r="AH97" s="357"/>
      <c r="AI97" s="223">
        <f>AI96</f>
        <v>29.26</v>
      </c>
      <c r="AJ97" s="83">
        <f t="shared" ref="AJ97:AP97" si="256">AJ96</f>
        <v>0.26750000000000002</v>
      </c>
      <c r="AK97" s="21">
        <f t="shared" si="256"/>
        <v>9.9166666666666661</v>
      </c>
      <c r="AL97" s="84">
        <f t="shared" si="256"/>
        <v>187</v>
      </c>
      <c r="AM97" s="83">
        <f t="shared" si="256"/>
        <v>9.737942583732058E-2</v>
      </c>
      <c r="AN97" s="84">
        <f t="shared" si="256"/>
        <v>143</v>
      </c>
      <c r="AO97" s="83">
        <f t="shared" si="256"/>
        <v>0.21099999999999999</v>
      </c>
      <c r="AP97" s="90">
        <f t="shared" si="256"/>
        <v>12</v>
      </c>
      <c r="AQ97" s="125">
        <f t="shared" si="195"/>
        <v>21.5</v>
      </c>
      <c r="AR97" s="125">
        <f t="shared" si="196"/>
        <v>11.5</v>
      </c>
      <c r="AS97" s="92">
        <f t="shared" si="197"/>
        <v>1.1830000000000001</v>
      </c>
      <c r="AT97" s="92">
        <f t="shared" si="249"/>
        <v>283</v>
      </c>
      <c r="AU97" s="98"/>
      <c r="AV97" s="99"/>
      <c r="AW97" s="57">
        <f t="shared" si="174"/>
        <v>0</v>
      </c>
      <c r="AX97" s="352"/>
      <c r="AY97" s="102">
        <f t="shared" si="201"/>
        <v>9.9166666666666661</v>
      </c>
      <c r="AZ97" s="361"/>
      <c r="BA97" s="92">
        <f t="shared" si="234"/>
        <v>-877.27921366666567</v>
      </c>
      <c r="BB97" s="22">
        <f t="shared" si="134"/>
        <v>-9.9166666666666661</v>
      </c>
      <c r="BC97" s="364"/>
      <c r="BD97" s="92" t="e">
        <f t="shared" ca="1" si="175"/>
        <v>#N/A</v>
      </c>
      <c r="BE97" s="92" t="e">
        <f t="shared" ca="1" si="176"/>
        <v>#N/A</v>
      </c>
      <c r="BF97" s="92">
        <f t="shared" si="177"/>
        <v>31.833333333333329</v>
      </c>
      <c r="BG97" s="92" t="e">
        <f t="shared" ca="1" si="178"/>
        <v>#N/A</v>
      </c>
      <c r="BH97" s="92" t="e">
        <f t="shared" ca="1" si="221"/>
        <v>#N/A</v>
      </c>
      <c r="BI97" s="24" t="e">
        <f t="shared" ca="1" si="192"/>
        <v>#N/A</v>
      </c>
      <c r="BJ97" s="106">
        <f>((M97+Q97)*AJ97+AK97)+((U97-W97+W97/('Vergleich Holz Strom'!$B$8-0.6))*AO97+AP97)</f>
        <v>21.916666666666664</v>
      </c>
      <c r="BK97" s="24" t="e">
        <f t="shared" ca="1" si="135"/>
        <v>#N/A</v>
      </c>
      <c r="BL97" s="380"/>
      <c r="BM97" s="106" t="e">
        <f t="shared" ca="1" si="188"/>
        <v>#N/A</v>
      </c>
      <c r="BN97" s="226" t="e">
        <f ca="1">IF(ISNUMBER(BK97),BN96+SUMIF(BK86:BK97,"&lt;&gt;#NV",BK86:BK97)/COUNTIF(BK86:BK97,"&lt;&gt;#NV"),#N/A)</f>
        <v>#N/A</v>
      </c>
      <c r="BO97" s="318" t="e">
        <f t="shared" ca="1" si="255"/>
        <v>#N/A</v>
      </c>
      <c r="BP97" s="106" t="e">
        <f t="shared" ca="1" si="136"/>
        <v>#N/A</v>
      </c>
      <c r="BQ97" s="106">
        <f t="shared" ca="1" si="154"/>
        <v>-61248.169213666522</v>
      </c>
      <c r="BR97" s="24">
        <f t="shared" si="179"/>
        <v>9.9166666666666661</v>
      </c>
      <c r="BS97" s="312"/>
      <c r="BT97" s="308"/>
      <c r="BU97" s="296">
        <f t="shared" si="180"/>
        <v>0</v>
      </c>
      <c r="BV97" s="324"/>
      <c r="BW97" s="292">
        <f t="shared" si="181"/>
        <v>0</v>
      </c>
      <c r="BX97" s="295">
        <f t="shared" si="182"/>
        <v>0</v>
      </c>
      <c r="BY97" s="382"/>
      <c r="BZ97" s="299">
        <f t="shared" si="189"/>
        <v>0</v>
      </c>
      <c r="CA97" s="296">
        <f t="shared" si="193"/>
        <v>0</v>
      </c>
      <c r="CB97" s="324"/>
      <c r="CC97" s="315">
        <f t="shared" si="242"/>
        <v>0</v>
      </c>
      <c r="CD97" s="327"/>
      <c r="CE97" s="292">
        <f t="shared" si="183"/>
        <v>0</v>
      </c>
      <c r="CF97" s="296">
        <f t="shared" si="243"/>
        <v>0</v>
      </c>
      <c r="CG97" s="324"/>
      <c r="CH97" s="303">
        <f t="shared" si="217"/>
        <v>0</v>
      </c>
      <c r="CI97" s="110">
        <f t="shared" si="184"/>
        <v>0</v>
      </c>
      <c r="CJ97" s="200">
        <f t="shared" si="185"/>
        <v>0</v>
      </c>
      <c r="CK97" s="25">
        <f t="shared" si="199"/>
        <v>0</v>
      </c>
      <c r="CL97" s="204">
        <f t="shared" si="186"/>
        <v>12</v>
      </c>
      <c r="CM97" s="26">
        <f>U97*Jahresdaten!$AD$2</f>
        <v>0</v>
      </c>
      <c r="CN97" s="114">
        <f>CJ97*Jahresdaten!$AD$2</f>
        <v>0</v>
      </c>
      <c r="CO97" s="346"/>
      <c r="CP97" s="118">
        <f>U97*Jahresdaten!$AD$3</f>
        <v>0</v>
      </c>
      <c r="CQ97" s="25">
        <f>CJ97*Jahresdaten!$AD$3</f>
        <v>0</v>
      </c>
      <c r="CR97" s="354"/>
      <c r="CS97" s="23"/>
      <c r="CT97" s="138"/>
      <c r="CU97" s="141" t="str">
        <f>IF(CT97=0,"",CT97*'Vergleich Holz Strom'!$B$2)</f>
        <v/>
      </c>
      <c r="CV97" s="354"/>
      <c r="CW97" s="346"/>
      <c r="CX97" s="346"/>
      <c r="CY97" s="346"/>
      <c r="CZ97" s="346"/>
      <c r="DA97" s="349"/>
      <c r="DB97" s="98"/>
      <c r="DC97" s="90">
        <f t="shared" si="202"/>
        <v>14892.51133333335</v>
      </c>
      <c r="DD97" s="98"/>
      <c r="DE97" s="90">
        <f t="shared" si="205"/>
        <v>-11121.112547000001</v>
      </c>
      <c r="DF97" s="102" t="e">
        <f ca="1">BE97+(SUM(CS86:CS97)/12)</f>
        <v>#N/A</v>
      </c>
      <c r="DG97" s="352"/>
      <c r="DH97" s="19">
        <f t="shared" si="235"/>
        <v>0</v>
      </c>
      <c r="DI97" s="125">
        <f t="shared" si="137"/>
        <v>20800</v>
      </c>
      <c r="DJ97" s="20">
        <f t="shared" si="236"/>
        <v>0</v>
      </c>
      <c r="DK97" s="129">
        <f>DK85</f>
        <v>7800</v>
      </c>
      <c r="DL97" s="20">
        <f t="shared" si="114"/>
        <v>650</v>
      </c>
      <c r="DM97" s="132">
        <f t="shared" si="237"/>
        <v>0</v>
      </c>
      <c r="DN97" s="27">
        <f>DN85</f>
        <v>3000</v>
      </c>
      <c r="DO97" s="132">
        <f t="shared" si="116"/>
        <v>250</v>
      </c>
      <c r="DP97" s="26">
        <f t="shared" si="238"/>
        <v>0</v>
      </c>
      <c r="DQ97" s="118">
        <f>DQ85</f>
        <v>10000</v>
      </c>
      <c r="DR97" s="118">
        <f>DR85</f>
        <v>600</v>
      </c>
    </row>
    <row r="98" spans="1:122" ht="15" customHeight="1" thickBot="1" x14ac:dyDescent="0.2">
      <c r="A98" s="415" t="s">
        <v>166</v>
      </c>
      <c r="B98" s="16">
        <v>46296</v>
      </c>
      <c r="C98" s="207">
        <f>'PV-Felder'!$I$11</f>
        <v>1416.7</v>
      </c>
      <c r="D98" s="358">
        <f t="shared" ref="D98" si="257">SUMIF(E98:E109,"&gt;0",C98:C109)</f>
        <v>0</v>
      </c>
      <c r="E98" s="61">
        <v>0</v>
      </c>
      <c r="F98" s="368">
        <f>SUM(E98:E109)</f>
        <v>0</v>
      </c>
      <c r="G98" s="58" t="e">
        <f t="shared" ca="1" si="171"/>
        <v>#N/A</v>
      </c>
      <c r="H98" s="358" t="e">
        <f ca="1">IF(TODAY()&lt;B98,#N/A,F98-D98)</f>
        <v>#N/A</v>
      </c>
      <c r="I98" s="61">
        <v>0</v>
      </c>
      <c r="J98" s="368">
        <f>SUM(I98:I109)</f>
        <v>0</v>
      </c>
      <c r="K98" s="61">
        <v>0</v>
      </c>
      <c r="L98" s="368">
        <f>SUM(K98:K109)</f>
        <v>0</v>
      </c>
      <c r="M98" s="66">
        <f t="shared" si="190"/>
        <v>0</v>
      </c>
      <c r="N98" s="372">
        <f>SUM(M98:M109)</f>
        <v>0</v>
      </c>
      <c r="Q98" s="287">
        <f t="shared" si="172"/>
        <v>0</v>
      </c>
      <c r="R98" s="333">
        <f>SUM(Q98:Q109)</f>
        <v>0</v>
      </c>
      <c r="S98" s="61">
        <v>0</v>
      </c>
      <c r="T98" s="375">
        <f>SUM(S98:S109)</f>
        <v>0</v>
      </c>
      <c r="U98" s="61">
        <v>0</v>
      </c>
      <c r="V98" s="341">
        <f>SUM(U98:U109)</f>
        <v>0</v>
      </c>
      <c r="W98" s="61">
        <v>0</v>
      </c>
      <c r="X98" s="341">
        <f>SUM(W98:W109)</f>
        <v>0</v>
      </c>
      <c r="Y98" s="211" t="e">
        <f t="shared" si="246"/>
        <v>#N/A</v>
      </c>
      <c r="Z98" s="369">
        <f>N98+T98+V98</f>
        <v>0</v>
      </c>
      <c r="AA98" s="62">
        <v>0</v>
      </c>
      <c r="AB98" s="368">
        <f>SUM(AA98:AA109)</f>
        <v>0</v>
      </c>
      <c r="AC98" s="62">
        <v>0</v>
      </c>
      <c r="AD98" s="368">
        <f>SUM(AC98:AC109)</f>
        <v>0</v>
      </c>
      <c r="AE98" s="74" t="e">
        <f t="shared" si="131"/>
        <v>#N/A</v>
      </c>
      <c r="AF98" s="355" t="e">
        <f>IF(SUMIF(AE98:AE109,"&gt;0")&gt;0,SUMIF(AE98:AE109,"&gt;0")/COUNTIF(AE98:AE109,"&gt;0"),#N/A)</f>
        <v>#N/A</v>
      </c>
      <c r="AG98" s="73" t="e">
        <f t="shared" si="132"/>
        <v>#N/A</v>
      </c>
      <c r="AH98" s="355" t="e">
        <f>IF(SUMIF(AG98:AG109,"&gt;0")&gt;0,SUMIF(AG98:AG109,"&gt;0")/COUNTIF(AG98:AG109,"&gt;0"),#N/A)</f>
        <v>#N/A</v>
      </c>
      <c r="AI98" s="222">
        <f>AI97</f>
        <v>29.26</v>
      </c>
      <c r="AJ98" s="78">
        <f t="shared" ref="AJ98:AP98" si="258">AJ97</f>
        <v>0.26750000000000002</v>
      </c>
      <c r="AK98" s="79">
        <f t="shared" si="258"/>
        <v>9.9166666666666661</v>
      </c>
      <c r="AL98" s="80">
        <f t="shared" si="258"/>
        <v>187</v>
      </c>
      <c r="AM98" s="78">
        <f t="shared" si="258"/>
        <v>9.737942583732058E-2</v>
      </c>
      <c r="AN98" s="80">
        <f t="shared" si="258"/>
        <v>143</v>
      </c>
      <c r="AO98" s="78">
        <f t="shared" si="258"/>
        <v>0.21099999999999999</v>
      </c>
      <c r="AP98" s="88">
        <f t="shared" si="258"/>
        <v>12</v>
      </c>
      <c r="AQ98" s="64">
        <f t="shared" si="195"/>
        <v>21.5</v>
      </c>
      <c r="AR98" s="64">
        <f t="shared" si="196"/>
        <v>11.5</v>
      </c>
      <c r="AS98" s="88">
        <f t="shared" si="197"/>
        <v>1.1830000000000001</v>
      </c>
      <c r="AT98" s="91">
        <f t="shared" si="249"/>
        <v>283</v>
      </c>
      <c r="AU98" s="94"/>
      <c r="AV98" s="95"/>
      <c r="AW98" s="56">
        <f t="shared" si="174"/>
        <v>0</v>
      </c>
      <c r="AX98" s="358">
        <f>SUM(AW98:AW109)</f>
        <v>0</v>
      </c>
      <c r="AY98" s="100">
        <f t="shared" si="201"/>
        <v>9.9166666666666661</v>
      </c>
      <c r="AZ98" s="359">
        <f>SUM(AY98:AY109)</f>
        <v>119.00000000000001</v>
      </c>
      <c r="BA98" s="103">
        <f>BA97-AY98</f>
        <v>-887.1958803333323</v>
      </c>
      <c r="BB98" s="5">
        <f t="shared" si="134"/>
        <v>-9.9166666666666661</v>
      </c>
      <c r="BC98" s="362">
        <f>SUM(AY98:AY109)/12</f>
        <v>9.9166666666666679</v>
      </c>
      <c r="BD98" s="91" t="e">
        <f t="shared" ca="1" si="175"/>
        <v>#N/A</v>
      </c>
      <c r="BE98" s="91" t="e">
        <f t="shared" ca="1" si="176"/>
        <v>#N/A</v>
      </c>
      <c r="BF98" s="91">
        <f t="shared" si="177"/>
        <v>31.833333333333329</v>
      </c>
      <c r="BG98" s="91" t="e">
        <f t="shared" ca="1" si="178"/>
        <v>#N/A</v>
      </c>
      <c r="BH98" s="91" t="e">
        <f t="shared" ca="1" si="221"/>
        <v>#N/A</v>
      </c>
      <c r="BI98" s="10" t="e">
        <f t="shared" ca="1" si="192"/>
        <v>#N/A</v>
      </c>
      <c r="BJ98" s="104">
        <f>((M98+Q98)*AJ98+AK98)+((U98-W98+W98/('Vergleich Holz Strom'!$B$8-0.6))*AO98+AP98)</f>
        <v>21.916666666666664</v>
      </c>
      <c r="BK98" s="10" t="e">
        <f t="shared" ca="1" si="135"/>
        <v>#N/A</v>
      </c>
      <c r="BL98" s="378">
        <f ca="1">SUMIF(BK98:BK109,"&lt;&gt;#NV",BK98:BK109)</f>
        <v>0</v>
      </c>
      <c r="BM98" s="104" t="e">
        <f t="shared" ca="1" si="188"/>
        <v>#N/A</v>
      </c>
      <c r="BN98" s="40" t="e">
        <f ca="1">IF(ISNUMBER(BK98),BN97+SUMIF(BK98:BK109,"&lt;&gt;#NV",BK98:BK109)/COUNTIF(BK98:BK109,"&lt;&gt;#NV"),#N/A)</f>
        <v>#N/A</v>
      </c>
      <c r="BO98" s="10" t="e">
        <f t="shared" ca="1" si="255"/>
        <v>#N/A</v>
      </c>
      <c r="BP98" s="105" t="e">
        <f t="shared" ca="1" si="136"/>
        <v>#N/A</v>
      </c>
      <c r="BQ98" s="104">
        <f t="shared" ca="1" si="154"/>
        <v>-61236.169213666522</v>
      </c>
      <c r="BR98" s="10">
        <f t="shared" si="179"/>
        <v>9.9166666666666661</v>
      </c>
      <c r="BS98" s="311"/>
      <c r="BT98" s="307"/>
      <c r="BU98" s="295">
        <f t="shared" si="180"/>
        <v>0</v>
      </c>
      <c r="BV98" s="322">
        <f>SUM(BU98:BU109)</f>
        <v>0</v>
      </c>
      <c r="BW98" s="300">
        <f t="shared" si="181"/>
        <v>0</v>
      </c>
      <c r="BX98" s="305">
        <f t="shared" si="182"/>
        <v>0</v>
      </c>
      <c r="BY98" s="381">
        <f>SUM(BX98:BX109)</f>
        <v>0</v>
      </c>
      <c r="BZ98" s="300">
        <f t="shared" si="189"/>
        <v>0</v>
      </c>
      <c r="CA98" s="295">
        <f t="shared" si="193"/>
        <v>0</v>
      </c>
      <c r="CB98" s="322">
        <f>SUM(CA98:CA109)</f>
        <v>0</v>
      </c>
      <c r="CC98" s="314">
        <f t="shared" si="242"/>
        <v>0</v>
      </c>
      <c r="CD98" s="325">
        <f>SUM(CC98:CC109)</f>
        <v>0</v>
      </c>
      <c r="CE98" s="299">
        <f t="shared" si="183"/>
        <v>0</v>
      </c>
      <c r="CF98" s="284">
        <f t="shared" si="243"/>
        <v>0</v>
      </c>
      <c r="CG98" s="328">
        <f>SUM(CF98:CF109)</f>
        <v>0</v>
      </c>
      <c r="CH98" s="302">
        <f t="shared" si="217"/>
        <v>0</v>
      </c>
      <c r="CI98" s="108">
        <f t="shared" si="184"/>
        <v>0</v>
      </c>
      <c r="CJ98" s="201">
        <f t="shared" si="185"/>
        <v>0</v>
      </c>
      <c r="CK98" s="197">
        <f t="shared" si="199"/>
        <v>0</v>
      </c>
      <c r="CL98" s="203">
        <f t="shared" si="186"/>
        <v>12</v>
      </c>
      <c r="CM98" s="4">
        <f>U98*Jahresdaten!$AD$2</f>
        <v>0</v>
      </c>
      <c r="CN98" s="112">
        <f>CJ98*Jahresdaten!$AD$2</f>
        <v>0</v>
      </c>
      <c r="CO98" s="365">
        <f>CW98*Jahresdaten!$AD$2</f>
        <v>856.59076092206669</v>
      </c>
      <c r="CP98" s="116">
        <f>U98*Jahresdaten!$AD$3</f>
        <v>0</v>
      </c>
      <c r="CQ98" s="12">
        <f>CJ98*Jahresdaten!$AD$3</f>
        <v>0</v>
      </c>
      <c r="CR98" s="367">
        <f>CW98*Jahresdaten!$AD$3</f>
        <v>312.40923907793319</v>
      </c>
      <c r="CS98" s="14">
        <f>CS86</f>
        <v>1169</v>
      </c>
      <c r="CT98" s="136">
        <f>CT86</f>
        <v>12</v>
      </c>
      <c r="CU98" s="140">
        <f>IF(CT98=0,"",CT98*'Vergleich Holz Strom'!$B$2)</f>
        <v>25800</v>
      </c>
      <c r="CV98" s="120" t="s">
        <v>7</v>
      </c>
      <c r="CW98" s="365">
        <f>CV99+CV105</f>
        <v>1169</v>
      </c>
      <c r="CX98" s="344">
        <f>SUM(CS98:CS109)/SUM(CU98:CU109)*(SUM(CU98:CU109)+(V98*('Vergleich Holz Strom'!$B$8-0.6)/'Vergleich Holz Strom'!$E$6))</f>
        <v>1169</v>
      </c>
      <c r="CY98" s="344">
        <f>SUM(CU98:CU109)*'Vergleich Holz Strom'!$E$6/('Vergleich Holz Strom'!$B$8-0.6)*(SUM(AJ98:AJ109)/12)+CV99</f>
        <v>1420.8970588235295</v>
      </c>
      <c r="CZ98" s="344">
        <f>SUM(CU98:CU109)*'Vergleich Holz Strom'!$E$6/('Vergleich Holz Strom'!$B$8-0.6)*SUM(AM98:AM109)/12+SUM(CK98:CK109)</f>
        <v>517.25659724176774</v>
      </c>
      <c r="DA98" s="347">
        <f>SUM(CU98:CU109)*'Vergleich Holz Strom'!$E$6/('Vergleich Holz Strom'!$B$8-0.6)*(SUM(AO98:AO109)/12)+SUM(CL98:CL109)</f>
        <v>1264.7823529411764</v>
      </c>
      <c r="DB98" s="94"/>
      <c r="DC98" s="88">
        <f t="shared" si="202"/>
        <v>15069.594666666684</v>
      </c>
      <c r="DD98" s="94"/>
      <c r="DE98" s="88">
        <f t="shared" si="205"/>
        <v>-11264.112547000001</v>
      </c>
      <c r="DF98" s="100" t="e">
        <f ca="1">BE98+(SUM(CS98:CS109)/12)</f>
        <v>#N/A</v>
      </c>
      <c r="DG98" s="350">
        <f ca="1">SUMIF(DF98:DF109,"&gt;0")</f>
        <v>0</v>
      </c>
      <c r="DH98" s="8">
        <f>M98+S98+U98</f>
        <v>0</v>
      </c>
      <c r="DI98" s="123">
        <f t="shared" si="137"/>
        <v>1850</v>
      </c>
      <c r="DJ98" s="2">
        <f>M98</f>
        <v>0</v>
      </c>
      <c r="DK98" s="127">
        <f>DK109/12*1</f>
        <v>650</v>
      </c>
      <c r="DL98" s="2">
        <f>DL97</f>
        <v>650</v>
      </c>
      <c r="DM98" s="130">
        <f>S98</f>
        <v>0</v>
      </c>
      <c r="DN98" s="3">
        <f>DN109/12*1</f>
        <v>250</v>
      </c>
      <c r="DO98" s="130">
        <f>DO97</f>
        <v>250</v>
      </c>
      <c r="DP98" s="4">
        <f>U98</f>
        <v>0</v>
      </c>
      <c r="DQ98" s="116">
        <f>DR98</f>
        <v>950</v>
      </c>
      <c r="DR98" s="116">
        <f>DR86</f>
        <v>950</v>
      </c>
    </row>
    <row r="99" spans="1:122" ht="14.25" customHeight="1" thickBot="1" x14ac:dyDescent="0.2">
      <c r="A99" s="416"/>
      <c r="B99" s="16">
        <v>46327</v>
      </c>
      <c r="C99" s="207">
        <f>'PV-Felder'!$I$12</f>
        <v>739.6</v>
      </c>
      <c r="D99" s="351"/>
      <c r="E99" s="61">
        <v>0</v>
      </c>
      <c r="F99" s="351"/>
      <c r="G99" s="56" t="e">
        <f t="shared" ca="1" si="171"/>
        <v>#N/A</v>
      </c>
      <c r="H99" s="351"/>
      <c r="I99" s="61">
        <v>0</v>
      </c>
      <c r="J99" s="351"/>
      <c r="K99" s="61">
        <v>0</v>
      </c>
      <c r="L99" s="351"/>
      <c r="M99" s="65">
        <f t="shared" si="190"/>
        <v>0</v>
      </c>
      <c r="N99" s="373"/>
      <c r="O99" s="288"/>
      <c r="P99" s="288"/>
      <c r="Q99" s="286">
        <f t="shared" si="172"/>
        <v>0</v>
      </c>
      <c r="R99" s="334"/>
      <c r="S99" s="61">
        <v>0</v>
      </c>
      <c r="T99" s="376"/>
      <c r="U99" s="61">
        <v>0</v>
      </c>
      <c r="V99" s="342"/>
      <c r="W99" s="61">
        <v>0</v>
      </c>
      <c r="X99" s="342"/>
      <c r="Y99" s="211" t="e">
        <f t="shared" si="246"/>
        <v>#N/A</v>
      </c>
      <c r="Z99" s="370"/>
      <c r="AA99" s="61">
        <v>0</v>
      </c>
      <c r="AB99" s="351"/>
      <c r="AC99" s="61">
        <v>0</v>
      </c>
      <c r="AD99" s="351"/>
      <c r="AE99" s="73" t="e">
        <f t="shared" si="131"/>
        <v>#N/A</v>
      </c>
      <c r="AF99" s="356"/>
      <c r="AG99" s="73" t="e">
        <f t="shared" si="132"/>
        <v>#N/A</v>
      </c>
      <c r="AH99" s="356"/>
      <c r="AI99" s="221">
        <f>AI98</f>
        <v>29.26</v>
      </c>
      <c r="AJ99" s="78">
        <f t="shared" ref="AJ99:AN99" si="259">AJ98</f>
        <v>0.26750000000000002</v>
      </c>
      <c r="AK99" s="79">
        <f t="shared" si="259"/>
        <v>9.9166666666666661</v>
      </c>
      <c r="AL99" s="80">
        <f t="shared" si="259"/>
        <v>187</v>
      </c>
      <c r="AM99" s="78">
        <f t="shared" si="259"/>
        <v>9.737942583732058E-2</v>
      </c>
      <c r="AN99" s="80">
        <f t="shared" si="259"/>
        <v>143</v>
      </c>
      <c r="AO99" s="78">
        <f>AO98</f>
        <v>0.21099999999999999</v>
      </c>
      <c r="AP99" s="88">
        <f>AP98</f>
        <v>12</v>
      </c>
      <c r="AQ99" s="64">
        <f t="shared" si="195"/>
        <v>21.5</v>
      </c>
      <c r="AR99" s="64">
        <f t="shared" si="196"/>
        <v>11.5</v>
      </c>
      <c r="AS99" s="88">
        <f t="shared" si="197"/>
        <v>1.1830000000000001</v>
      </c>
      <c r="AT99" s="91">
        <f t="shared" si="249"/>
        <v>283</v>
      </c>
      <c r="AU99" s="94"/>
      <c r="AV99" s="95"/>
      <c r="AW99" s="56">
        <f t="shared" si="174"/>
        <v>0</v>
      </c>
      <c r="AX99" s="351"/>
      <c r="AY99" s="100">
        <f t="shared" si="201"/>
        <v>9.9166666666666661</v>
      </c>
      <c r="AZ99" s="360"/>
      <c r="BA99" s="91">
        <f t="shared" ref="BA99:BA109" si="260">BA98-AY99</f>
        <v>-897.11254699999893</v>
      </c>
      <c r="BB99" s="5">
        <f t="shared" si="134"/>
        <v>-9.9166666666666661</v>
      </c>
      <c r="BC99" s="363"/>
      <c r="BD99" s="91" t="e">
        <f t="shared" ca="1" si="175"/>
        <v>#N/A</v>
      </c>
      <c r="BE99" s="91" t="e">
        <f t="shared" ca="1" si="176"/>
        <v>#N/A</v>
      </c>
      <c r="BF99" s="91">
        <f t="shared" si="177"/>
        <v>31.833333333333329</v>
      </c>
      <c r="BG99" s="91" t="e">
        <f t="shared" ca="1" si="178"/>
        <v>#N/A</v>
      </c>
      <c r="BH99" s="91" t="e">
        <f t="shared" ca="1" si="221"/>
        <v>#N/A</v>
      </c>
      <c r="BI99" s="10" t="e">
        <f t="shared" ca="1" si="192"/>
        <v>#N/A</v>
      </c>
      <c r="BJ99" s="104">
        <f>((M99+Q99)*AJ99+AK99)+((U99-W99+W99/('Vergleich Holz Strom'!$B$8-0.6))*AO99+AP99)</f>
        <v>21.916666666666664</v>
      </c>
      <c r="BK99" s="10" t="e">
        <f t="shared" ca="1" si="135"/>
        <v>#N/A</v>
      </c>
      <c r="BL99" s="379"/>
      <c r="BM99" s="104" t="e">
        <f t="shared" ca="1" si="188"/>
        <v>#N/A</v>
      </c>
      <c r="BN99" s="40" t="e">
        <f ca="1">IF(ISNUMBER(BK99),BN98+SUMIF(BK98:BK109,"&lt;&gt;#NV",BK98:BK109)/COUNTIF(BK98:BK109,"&lt;&gt;#NV"),#N/A)</f>
        <v>#N/A</v>
      </c>
      <c r="BO99" s="10" t="e">
        <f t="shared" ca="1" si="255"/>
        <v>#N/A</v>
      </c>
      <c r="BP99" s="104" t="e">
        <f t="shared" ca="1" si="136"/>
        <v>#N/A</v>
      </c>
      <c r="BQ99" s="104">
        <f t="shared" ca="1" si="154"/>
        <v>-61224.169213666522</v>
      </c>
      <c r="BR99" s="10">
        <f t="shared" si="179"/>
        <v>9.9166666666666661</v>
      </c>
      <c r="BS99" s="311"/>
      <c r="BT99" s="307"/>
      <c r="BU99" s="295">
        <f t="shared" si="180"/>
        <v>0</v>
      </c>
      <c r="BV99" s="323"/>
      <c r="BW99" s="299">
        <f t="shared" si="181"/>
        <v>0</v>
      </c>
      <c r="BX99" s="295">
        <f t="shared" si="182"/>
        <v>0</v>
      </c>
      <c r="BY99" s="382"/>
      <c r="BZ99" s="299">
        <f t="shared" si="189"/>
        <v>0</v>
      </c>
      <c r="CA99" s="295">
        <f t="shared" si="193"/>
        <v>0</v>
      </c>
      <c r="CB99" s="323"/>
      <c r="CC99" s="314">
        <f>Q99/AQ99*100+BS99/AQ99*100</f>
        <v>0</v>
      </c>
      <c r="CD99" s="326"/>
      <c r="CE99" s="299">
        <f t="shared" si="183"/>
        <v>0</v>
      </c>
      <c r="CF99" s="284">
        <f>CE99-CA99</f>
        <v>0</v>
      </c>
      <c r="CG99" s="323"/>
      <c r="CH99" s="302">
        <f t="shared" si="217"/>
        <v>0</v>
      </c>
      <c r="CI99" s="108">
        <f t="shared" si="184"/>
        <v>0</v>
      </c>
      <c r="CJ99" s="200">
        <f t="shared" si="185"/>
        <v>0</v>
      </c>
      <c r="CK99" s="197">
        <f t="shared" si="199"/>
        <v>0</v>
      </c>
      <c r="CL99" s="203">
        <f t="shared" si="186"/>
        <v>12</v>
      </c>
      <c r="CM99" s="4">
        <f>U99*Jahresdaten!$AD$2</f>
        <v>0</v>
      </c>
      <c r="CN99" s="112">
        <f>CJ99*Jahresdaten!$AD$2</f>
        <v>0</v>
      </c>
      <c r="CO99" s="366"/>
      <c r="CP99" s="116">
        <f>U99*Jahresdaten!$AD$3</f>
        <v>0</v>
      </c>
      <c r="CQ99" s="12">
        <f>CJ99*Jahresdaten!$AD$3</f>
        <v>0</v>
      </c>
      <c r="CR99" s="353"/>
      <c r="CS99" s="14"/>
      <c r="CT99" s="136"/>
      <c r="CU99" s="140" t="str">
        <f>IF(CT99=0,"",CT99*'Vergleich Holz Strom'!$B$2)</f>
        <v/>
      </c>
      <c r="CV99" s="353">
        <f>SUM(CJ98:CJ109)</f>
        <v>0</v>
      </c>
      <c r="CW99" s="366"/>
      <c r="CX99" s="345"/>
      <c r="CY99" s="345"/>
      <c r="CZ99" s="345"/>
      <c r="DA99" s="348"/>
      <c r="DB99" s="94"/>
      <c r="DC99" s="88">
        <f t="shared" si="202"/>
        <v>15246.678000000018</v>
      </c>
      <c r="DD99" s="94"/>
      <c r="DE99" s="88">
        <f t="shared" si="205"/>
        <v>-11407.112547000001</v>
      </c>
      <c r="DF99" s="100" t="e">
        <f ca="1">BE99+(SUM(CS98:CS109)/12)</f>
        <v>#N/A</v>
      </c>
      <c r="DG99" s="351"/>
      <c r="DH99" s="8">
        <f t="shared" ref="DH99:DH109" si="261">DH98+M99+S99+U99</f>
        <v>0</v>
      </c>
      <c r="DI99" s="123">
        <f t="shared" si="137"/>
        <v>3550</v>
      </c>
      <c r="DJ99" s="2">
        <f t="shared" ref="DJ99:DJ109" si="262">DJ98+M99</f>
        <v>0</v>
      </c>
      <c r="DK99" s="127">
        <f>DK109/12*2</f>
        <v>1300</v>
      </c>
      <c r="DL99" s="2">
        <f t="shared" si="114"/>
        <v>650</v>
      </c>
      <c r="DM99" s="130">
        <f t="shared" ref="DM99:DM109" si="263">DM98+S99</f>
        <v>0</v>
      </c>
      <c r="DN99" s="3">
        <f>DN109/12*2</f>
        <v>500</v>
      </c>
      <c r="DO99" s="130">
        <f t="shared" si="116"/>
        <v>250</v>
      </c>
      <c r="DP99" s="4">
        <f t="shared" ref="DP99:DP109" si="264">DP98+U99</f>
        <v>0</v>
      </c>
      <c r="DQ99" s="116">
        <f t="shared" ref="DQ99:DQ108" si="265">DQ98+DR99</f>
        <v>1750</v>
      </c>
      <c r="DR99" s="116">
        <f>DR87</f>
        <v>800</v>
      </c>
    </row>
    <row r="100" spans="1:122" ht="14.25" customHeight="1" thickBot="1" x14ac:dyDescent="0.2">
      <c r="A100" s="416"/>
      <c r="B100" s="16">
        <v>46357</v>
      </c>
      <c r="C100" s="207">
        <f>'PV-Felder'!$I$13</f>
        <v>559.9</v>
      </c>
      <c r="D100" s="351"/>
      <c r="E100" s="61">
        <v>0</v>
      </c>
      <c r="F100" s="351"/>
      <c r="G100" s="56" t="e">
        <f t="shared" ca="1" si="171"/>
        <v>#N/A</v>
      </c>
      <c r="H100" s="351"/>
      <c r="I100" s="61">
        <v>0</v>
      </c>
      <c r="J100" s="351"/>
      <c r="K100" s="61">
        <v>0</v>
      </c>
      <c r="L100" s="351"/>
      <c r="M100" s="65">
        <f t="shared" si="190"/>
        <v>0</v>
      </c>
      <c r="N100" s="373"/>
      <c r="O100" s="288"/>
      <c r="P100" s="288"/>
      <c r="Q100" s="286">
        <f t="shared" si="172"/>
        <v>0</v>
      </c>
      <c r="R100" s="334"/>
      <c r="S100" s="61">
        <v>0</v>
      </c>
      <c r="T100" s="376"/>
      <c r="U100" s="61">
        <v>0</v>
      </c>
      <c r="V100" s="342"/>
      <c r="W100" s="61">
        <v>0</v>
      </c>
      <c r="X100" s="342"/>
      <c r="Y100" s="211" t="e">
        <f t="shared" si="246"/>
        <v>#N/A</v>
      </c>
      <c r="Z100" s="370"/>
      <c r="AA100" s="61">
        <v>0</v>
      </c>
      <c r="AB100" s="351"/>
      <c r="AC100" s="61">
        <v>0</v>
      </c>
      <c r="AD100" s="351"/>
      <c r="AE100" s="73" t="e">
        <f t="shared" si="131"/>
        <v>#N/A</v>
      </c>
      <c r="AF100" s="356"/>
      <c r="AG100" s="73" t="e">
        <f t="shared" si="132"/>
        <v>#N/A</v>
      </c>
      <c r="AH100" s="356"/>
      <c r="AI100" s="221">
        <f t="shared" ref="AI100:AI108" si="266">AI99</f>
        <v>29.26</v>
      </c>
      <c r="AJ100" s="78">
        <f t="shared" ref="AJ100:AN100" si="267">AJ99</f>
        <v>0.26750000000000002</v>
      </c>
      <c r="AK100" s="79">
        <f t="shared" si="267"/>
        <v>9.9166666666666661</v>
      </c>
      <c r="AL100" s="80">
        <f t="shared" si="267"/>
        <v>187</v>
      </c>
      <c r="AM100" s="78">
        <f t="shared" si="267"/>
        <v>9.737942583732058E-2</v>
      </c>
      <c r="AN100" s="80">
        <f t="shared" si="267"/>
        <v>143</v>
      </c>
      <c r="AO100" s="78">
        <f>AO99</f>
        <v>0.21099999999999999</v>
      </c>
      <c r="AP100" s="88">
        <f>AP99</f>
        <v>12</v>
      </c>
      <c r="AQ100" s="64">
        <f t="shared" si="195"/>
        <v>21.5</v>
      </c>
      <c r="AR100" s="64">
        <f t="shared" si="196"/>
        <v>11.5</v>
      </c>
      <c r="AS100" s="88">
        <f t="shared" si="197"/>
        <v>1.1830000000000001</v>
      </c>
      <c r="AT100" s="91">
        <f t="shared" si="249"/>
        <v>283</v>
      </c>
      <c r="AU100" s="94"/>
      <c r="AV100" s="95"/>
      <c r="AW100" s="56">
        <f t="shared" si="174"/>
        <v>0</v>
      </c>
      <c r="AX100" s="351"/>
      <c r="AY100" s="100">
        <f t="shared" si="201"/>
        <v>9.9166666666666661</v>
      </c>
      <c r="AZ100" s="360"/>
      <c r="BA100" s="91">
        <f t="shared" si="260"/>
        <v>-907.02921366666556</v>
      </c>
      <c r="BB100" s="5">
        <f t="shared" si="134"/>
        <v>-9.9166666666666661</v>
      </c>
      <c r="BC100" s="363"/>
      <c r="BD100" s="91" t="e">
        <f t="shared" ca="1" si="175"/>
        <v>#N/A</v>
      </c>
      <c r="BE100" s="91" t="e">
        <f t="shared" ca="1" si="176"/>
        <v>#N/A</v>
      </c>
      <c r="BF100" s="91">
        <f t="shared" si="177"/>
        <v>31.833333333333329</v>
      </c>
      <c r="BG100" s="91" t="e">
        <f t="shared" ca="1" si="178"/>
        <v>#N/A</v>
      </c>
      <c r="BH100" s="91" t="e">
        <f t="shared" ca="1" si="221"/>
        <v>#N/A</v>
      </c>
      <c r="BI100" s="10" t="e">
        <f t="shared" ca="1" si="192"/>
        <v>#N/A</v>
      </c>
      <c r="BJ100" s="104">
        <f>((M100+Q100)*AJ100+AK100)+((U100-W100+W100/('Vergleich Holz Strom'!$B$8-0.6))*AO100+AP100)</f>
        <v>21.916666666666664</v>
      </c>
      <c r="BK100" s="10" t="e">
        <f t="shared" ca="1" si="135"/>
        <v>#N/A</v>
      </c>
      <c r="BL100" s="379"/>
      <c r="BM100" s="104" t="e">
        <f t="shared" ca="1" si="188"/>
        <v>#N/A</v>
      </c>
      <c r="BN100" s="40" t="e">
        <f ca="1">IF(ISNUMBER(BK100),BN99+SUMIF(BK98:BK109,"&lt;&gt;#NV",BK98:BK109)/COUNTIF(BK98:BK109,"&lt;&gt;#NV"),#N/A)</f>
        <v>#N/A</v>
      </c>
      <c r="BO100" s="10" t="e">
        <f t="shared" ca="1" si="255"/>
        <v>#N/A</v>
      </c>
      <c r="BP100" s="104" t="e">
        <f t="shared" ca="1" si="136"/>
        <v>#N/A</v>
      </c>
      <c r="BQ100" s="104">
        <f t="shared" ca="1" si="154"/>
        <v>-61212.169213666522</v>
      </c>
      <c r="BR100" s="10">
        <f t="shared" si="179"/>
        <v>9.9166666666666661</v>
      </c>
      <c r="BS100" s="311"/>
      <c r="BT100" s="307"/>
      <c r="BU100" s="295">
        <f t="shared" si="180"/>
        <v>0</v>
      </c>
      <c r="BV100" s="323"/>
      <c r="BW100" s="299">
        <f t="shared" si="181"/>
        <v>0</v>
      </c>
      <c r="BX100" s="295">
        <f t="shared" si="182"/>
        <v>0</v>
      </c>
      <c r="BY100" s="382"/>
      <c r="BZ100" s="299">
        <f t="shared" si="189"/>
        <v>0</v>
      </c>
      <c r="CA100" s="295">
        <f t="shared" si="193"/>
        <v>0</v>
      </c>
      <c r="CB100" s="323"/>
      <c r="CC100" s="314">
        <f t="shared" ref="CC100:CC110" si="268">Q100/AQ100*100+BS100/AQ100*100</f>
        <v>0</v>
      </c>
      <c r="CD100" s="326"/>
      <c r="CE100" s="299">
        <f t="shared" si="183"/>
        <v>0</v>
      </c>
      <c r="CF100" s="284">
        <f t="shared" ref="CF100:CF110" si="269">CE100-CA100</f>
        <v>0</v>
      </c>
      <c r="CG100" s="323"/>
      <c r="CH100" s="302">
        <f t="shared" si="217"/>
        <v>0</v>
      </c>
      <c r="CI100" s="108">
        <f t="shared" si="184"/>
        <v>0</v>
      </c>
      <c r="CJ100" s="200">
        <f t="shared" si="185"/>
        <v>0</v>
      </c>
      <c r="CK100" s="197">
        <f t="shared" si="199"/>
        <v>0</v>
      </c>
      <c r="CL100" s="203">
        <f t="shared" si="186"/>
        <v>12</v>
      </c>
      <c r="CM100" s="4">
        <f>U100*Jahresdaten!$AD$2</f>
        <v>0</v>
      </c>
      <c r="CN100" s="112">
        <f>CJ100*Jahresdaten!$AD$2</f>
        <v>0</v>
      </c>
      <c r="CO100" s="366"/>
      <c r="CP100" s="116">
        <f>U100*Jahresdaten!$AD$3</f>
        <v>0</v>
      </c>
      <c r="CQ100" s="12">
        <f>CJ100*Jahresdaten!$AD$3</f>
        <v>0</v>
      </c>
      <c r="CR100" s="353"/>
      <c r="CS100" s="14"/>
      <c r="CT100" s="136"/>
      <c r="CU100" s="140" t="str">
        <f>IF(CT100=0,"",CT100*'Vergleich Holz Strom'!$B$2)</f>
        <v/>
      </c>
      <c r="CV100" s="353"/>
      <c r="CW100" s="366"/>
      <c r="CX100" s="345"/>
      <c r="CY100" s="345"/>
      <c r="CZ100" s="345"/>
      <c r="DA100" s="348"/>
      <c r="DB100" s="94"/>
      <c r="DC100" s="88">
        <f t="shared" si="202"/>
        <v>15423.761333333352</v>
      </c>
      <c r="DD100" s="94"/>
      <c r="DE100" s="88">
        <f t="shared" si="205"/>
        <v>-11550.112547000001</v>
      </c>
      <c r="DF100" s="100" t="e">
        <f ca="1">BE100+(SUM(CS98:CS109)/12)</f>
        <v>#N/A</v>
      </c>
      <c r="DG100" s="351"/>
      <c r="DH100" s="8">
        <f t="shared" si="261"/>
        <v>0</v>
      </c>
      <c r="DI100" s="123">
        <f t="shared" si="137"/>
        <v>5300</v>
      </c>
      <c r="DJ100" s="2">
        <f t="shared" si="262"/>
        <v>0</v>
      </c>
      <c r="DK100" s="127">
        <f>DK109/12*3</f>
        <v>1950</v>
      </c>
      <c r="DL100" s="2">
        <f t="shared" si="114"/>
        <v>650</v>
      </c>
      <c r="DM100" s="130">
        <f t="shared" si="263"/>
        <v>0</v>
      </c>
      <c r="DN100" s="3">
        <f>DN109/12*3</f>
        <v>750</v>
      </c>
      <c r="DO100" s="130">
        <f t="shared" si="116"/>
        <v>250</v>
      </c>
      <c r="DP100" s="4">
        <f t="shared" si="264"/>
        <v>0</v>
      </c>
      <c r="DQ100" s="116">
        <f t="shared" si="265"/>
        <v>2600</v>
      </c>
      <c r="DR100" s="116">
        <f t="shared" ref="DR100:DR108" si="270">DR88</f>
        <v>850.00000000000011</v>
      </c>
    </row>
    <row r="101" spans="1:122" ht="14.25" customHeight="1" thickBot="1" x14ac:dyDescent="0.2">
      <c r="A101" s="416"/>
      <c r="B101" s="16">
        <v>46388</v>
      </c>
      <c r="C101" s="207">
        <f>'PV-Felder'!$I$2</f>
        <v>660.80000000000007</v>
      </c>
      <c r="D101" s="351"/>
      <c r="E101" s="61">
        <v>0</v>
      </c>
      <c r="F101" s="351"/>
      <c r="G101" s="56" t="e">
        <f t="shared" ca="1" si="171"/>
        <v>#N/A</v>
      </c>
      <c r="H101" s="351"/>
      <c r="I101" s="61">
        <v>0</v>
      </c>
      <c r="J101" s="351"/>
      <c r="K101" s="61">
        <v>0</v>
      </c>
      <c r="L101" s="351"/>
      <c r="M101" s="65">
        <f t="shared" si="190"/>
        <v>0</v>
      </c>
      <c r="N101" s="373"/>
      <c r="O101" s="288"/>
      <c r="P101" s="288"/>
      <c r="Q101" s="286">
        <f t="shared" si="172"/>
        <v>0</v>
      </c>
      <c r="R101" s="334"/>
      <c r="S101" s="61">
        <v>0</v>
      </c>
      <c r="T101" s="376"/>
      <c r="U101" s="61">
        <v>0</v>
      </c>
      <c r="V101" s="342"/>
      <c r="W101" s="61">
        <v>0</v>
      </c>
      <c r="X101" s="342"/>
      <c r="Y101" s="211" t="e">
        <f t="shared" si="246"/>
        <v>#N/A</v>
      </c>
      <c r="Z101" s="370"/>
      <c r="AA101" s="61">
        <v>0</v>
      </c>
      <c r="AB101" s="351"/>
      <c r="AC101" s="61">
        <v>0</v>
      </c>
      <c r="AD101" s="351"/>
      <c r="AE101" s="73" t="e">
        <f t="shared" si="131"/>
        <v>#N/A</v>
      </c>
      <c r="AF101" s="356"/>
      <c r="AG101" s="73" t="e">
        <f t="shared" si="132"/>
        <v>#N/A</v>
      </c>
      <c r="AH101" s="356"/>
      <c r="AI101" s="221">
        <f t="shared" si="266"/>
        <v>29.26</v>
      </c>
      <c r="AJ101" s="78">
        <f t="shared" ref="AJ101:AP101" si="271">AJ100</f>
        <v>0.26750000000000002</v>
      </c>
      <c r="AK101" s="79">
        <f t="shared" si="271"/>
        <v>9.9166666666666661</v>
      </c>
      <c r="AL101" s="80">
        <f t="shared" si="271"/>
        <v>187</v>
      </c>
      <c r="AM101" s="78">
        <f t="shared" si="271"/>
        <v>9.737942583732058E-2</v>
      </c>
      <c r="AN101" s="80">
        <f t="shared" si="271"/>
        <v>143</v>
      </c>
      <c r="AO101" s="78">
        <f t="shared" si="271"/>
        <v>0.21099999999999999</v>
      </c>
      <c r="AP101" s="88">
        <f t="shared" si="271"/>
        <v>12</v>
      </c>
      <c r="AQ101" s="64">
        <f t="shared" si="195"/>
        <v>21.5</v>
      </c>
      <c r="AR101" s="64">
        <f t="shared" si="196"/>
        <v>11.5</v>
      </c>
      <c r="AS101" s="88">
        <f t="shared" si="197"/>
        <v>1.1830000000000001</v>
      </c>
      <c r="AT101" s="91">
        <f t="shared" si="249"/>
        <v>283</v>
      </c>
      <c r="AU101" s="94"/>
      <c r="AV101" s="95"/>
      <c r="AW101" s="56">
        <f t="shared" si="174"/>
        <v>0</v>
      </c>
      <c r="AX101" s="351"/>
      <c r="AY101" s="100">
        <f t="shared" si="201"/>
        <v>9.9166666666666661</v>
      </c>
      <c r="AZ101" s="360"/>
      <c r="BA101" s="91">
        <f t="shared" si="260"/>
        <v>-916.94588033333218</v>
      </c>
      <c r="BB101" s="5">
        <f t="shared" si="134"/>
        <v>-9.9166666666666661</v>
      </c>
      <c r="BC101" s="363"/>
      <c r="BD101" s="91" t="e">
        <f t="shared" ca="1" si="175"/>
        <v>#N/A</v>
      </c>
      <c r="BE101" s="91" t="e">
        <f t="shared" ca="1" si="176"/>
        <v>#N/A</v>
      </c>
      <c r="BF101" s="91">
        <f t="shared" si="177"/>
        <v>31.833333333333329</v>
      </c>
      <c r="BG101" s="91" t="e">
        <f t="shared" ca="1" si="178"/>
        <v>#N/A</v>
      </c>
      <c r="BH101" s="91" t="e">
        <f t="shared" ca="1" si="221"/>
        <v>#N/A</v>
      </c>
      <c r="BI101" s="10" t="e">
        <f t="shared" ca="1" si="192"/>
        <v>#N/A</v>
      </c>
      <c r="BJ101" s="104">
        <f>((M101+Q101)*AJ101+AK101)+((U101-W101+W101/('Vergleich Holz Strom'!$B$8-0.6))*AO101+AP101)</f>
        <v>21.916666666666664</v>
      </c>
      <c r="BK101" s="10" t="e">
        <f t="shared" ca="1" si="135"/>
        <v>#N/A</v>
      </c>
      <c r="BL101" s="379"/>
      <c r="BM101" s="104" t="e">
        <f t="shared" ca="1" si="188"/>
        <v>#N/A</v>
      </c>
      <c r="BN101" s="40" t="e">
        <f ca="1">IF(ISNUMBER(BK101),BN100+SUMIF(BK98:BK109,"&lt;&gt;#NV",BK98:BK109)/COUNTIF(BK98:BK109,"&lt;&gt;#NV"),#N/A)</f>
        <v>#N/A</v>
      </c>
      <c r="BO101" s="10" t="e">
        <f t="shared" ca="1" si="255"/>
        <v>#N/A</v>
      </c>
      <c r="BP101" s="104" t="e">
        <f t="shared" ca="1" si="136"/>
        <v>#N/A</v>
      </c>
      <c r="BQ101" s="104">
        <f t="shared" ca="1" si="154"/>
        <v>-61200.169213666522</v>
      </c>
      <c r="BR101" s="10">
        <f t="shared" si="179"/>
        <v>9.9166666666666661</v>
      </c>
      <c r="BS101" s="311"/>
      <c r="BT101" s="307"/>
      <c r="BU101" s="295">
        <f t="shared" si="180"/>
        <v>0</v>
      </c>
      <c r="BV101" s="323"/>
      <c r="BW101" s="299">
        <f t="shared" si="181"/>
        <v>0</v>
      </c>
      <c r="BX101" s="295">
        <f t="shared" si="182"/>
        <v>0</v>
      </c>
      <c r="BY101" s="382"/>
      <c r="BZ101" s="299">
        <f t="shared" si="189"/>
        <v>0</v>
      </c>
      <c r="CA101" s="295">
        <f t="shared" si="193"/>
        <v>0</v>
      </c>
      <c r="CB101" s="323"/>
      <c r="CC101" s="314">
        <f t="shared" si="268"/>
        <v>0</v>
      </c>
      <c r="CD101" s="326"/>
      <c r="CE101" s="299">
        <f t="shared" si="183"/>
        <v>0</v>
      </c>
      <c r="CF101" s="284">
        <f t="shared" si="269"/>
        <v>0</v>
      </c>
      <c r="CG101" s="323"/>
      <c r="CH101" s="302">
        <f t="shared" si="217"/>
        <v>0</v>
      </c>
      <c r="CI101" s="108">
        <f t="shared" si="184"/>
        <v>0</v>
      </c>
      <c r="CJ101" s="200">
        <f t="shared" si="185"/>
        <v>0</v>
      </c>
      <c r="CK101" s="197">
        <f t="shared" si="199"/>
        <v>0</v>
      </c>
      <c r="CL101" s="203">
        <f t="shared" si="186"/>
        <v>12</v>
      </c>
      <c r="CM101" s="4">
        <f>U101*Jahresdaten!$AD$2</f>
        <v>0</v>
      </c>
      <c r="CN101" s="112">
        <f>CJ101*Jahresdaten!$AD$2</f>
        <v>0</v>
      </c>
      <c r="CO101" s="366"/>
      <c r="CP101" s="116">
        <f>U101*Jahresdaten!$AD$3</f>
        <v>0</v>
      </c>
      <c r="CQ101" s="12">
        <f>CJ101*Jahresdaten!$AD$3</f>
        <v>0</v>
      </c>
      <c r="CR101" s="353"/>
      <c r="CS101" s="14"/>
      <c r="CT101" s="136"/>
      <c r="CU101" s="140" t="str">
        <f>IF(CT101=0,"",CT101*'Vergleich Holz Strom'!$B$2)</f>
        <v/>
      </c>
      <c r="CV101" s="353"/>
      <c r="CW101" s="366"/>
      <c r="CX101" s="345"/>
      <c r="CY101" s="345"/>
      <c r="CZ101" s="345"/>
      <c r="DA101" s="348"/>
      <c r="DB101" s="94"/>
      <c r="DC101" s="88">
        <f t="shared" si="202"/>
        <v>15600.844666666686</v>
      </c>
      <c r="DD101" s="94"/>
      <c r="DE101" s="88">
        <f t="shared" si="205"/>
        <v>-11693.112547000001</v>
      </c>
      <c r="DF101" s="100" t="e">
        <f ca="1">BE101+(SUM(CS98:CS109)/12)</f>
        <v>#N/A</v>
      </c>
      <c r="DG101" s="351"/>
      <c r="DH101" s="8">
        <f t="shared" si="261"/>
        <v>0</v>
      </c>
      <c r="DI101" s="123">
        <f t="shared" si="137"/>
        <v>7350</v>
      </c>
      <c r="DJ101" s="2">
        <f t="shared" si="262"/>
        <v>0</v>
      </c>
      <c r="DK101" s="127">
        <f>DK109/12*4</f>
        <v>2600</v>
      </c>
      <c r="DL101" s="2">
        <f t="shared" si="114"/>
        <v>650</v>
      </c>
      <c r="DM101" s="130">
        <f t="shared" si="263"/>
        <v>0</v>
      </c>
      <c r="DN101" s="3">
        <f>DN109/12*4</f>
        <v>1000</v>
      </c>
      <c r="DO101" s="130">
        <f t="shared" si="116"/>
        <v>250</v>
      </c>
      <c r="DP101" s="4">
        <f t="shared" si="264"/>
        <v>0</v>
      </c>
      <c r="DQ101" s="116">
        <f t="shared" si="265"/>
        <v>3750</v>
      </c>
      <c r="DR101" s="116">
        <f t="shared" si="270"/>
        <v>1150</v>
      </c>
    </row>
    <row r="102" spans="1:122" ht="14.25" customHeight="1" thickBot="1" x14ac:dyDescent="0.2">
      <c r="A102" s="416"/>
      <c r="B102" s="16">
        <v>46419</v>
      </c>
      <c r="C102" s="207">
        <f>'PV-Felder'!$I$3</f>
        <v>922.2</v>
      </c>
      <c r="D102" s="351"/>
      <c r="E102" s="61">
        <v>0</v>
      </c>
      <c r="F102" s="351"/>
      <c r="G102" s="56" t="e">
        <f t="shared" ca="1" si="171"/>
        <v>#N/A</v>
      </c>
      <c r="H102" s="351"/>
      <c r="I102" s="61">
        <v>0</v>
      </c>
      <c r="J102" s="351"/>
      <c r="K102" s="61">
        <v>0</v>
      </c>
      <c r="L102" s="351"/>
      <c r="M102" s="65">
        <f t="shared" si="190"/>
        <v>0</v>
      </c>
      <c r="N102" s="373"/>
      <c r="O102" s="288"/>
      <c r="P102" s="288"/>
      <c r="Q102" s="286">
        <f t="shared" si="172"/>
        <v>0</v>
      </c>
      <c r="R102" s="334"/>
      <c r="S102" s="61">
        <v>0</v>
      </c>
      <c r="T102" s="376"/>
      <c r="U102" s="61">
        <v>0</v>
      </c>
      <c r="V102" s="342"/>
      <c r="W102" s="61">
        <v>0</v>
      </c>
      <c r="X102" s="342"/>
      <c r="Y102" s="211" t="e">
        <f t="shared" ref="Y102:Y165" si="272">IF(M102+S102+U102&gt;0,M102+S102+U102,#N/A)</f>
        <v>#N/A</v>
      </c>
      <c r="Z102" s="370"/>
      <c r="AA102" s="61">
        <v>0</v>
      </c>
      <c r="AB102" s="351"/>
      <c r="AC102" s="61">
        <v>0</v>
      </c>
      <c r="AD102" s="351"/>
      <c r="AE102" s="73" t="e">
        <f t="shared" si="131"/>
        <v>#N/A</v>
      </c>
      <c r="AF102" s="356"/>
      <c r="AG102" s="73" t="e">
        <f t="shared" si="132"/>
        <v>#N/A</v>
      </c>
      <c r="AH102" s="356"/>
      <c r="AI102" s="221">
        <f t="shared" si="266"/>
        <v>29.26</v>
      </c>
      <c r="AJ102" s="78">
        <f t="shared" ref="AJ102:AP102" si="273">AJ101</f>
        <v>0.26750000000000002</v>
      </c>
      <c r="AK102" s="79">
        <f t="shared" si="273"/>
        <v>9.9166666666666661</v>
      </c>
      <c r="AL102" s="80">
        <f t="shared" si="273"/>
        <v>187</v>
      </c>
      <c r="AM102" s="78">
        <f t="shared" si="273"/>
        <v>9.737942583732058E-2</v>
      </c>
      <c r="AN102" s="80">
        <f t="shared" si="273"/>
        <v>143</v>
      </c>
      <c r="AO102" s="78">
        <f t="shared" si="273"/>
        <v>0.21099999999999999</v>
      </c>
      <c r="AP102" s="88">
        <f t="shared" si="273"/>
        <v>12</v>
      </c>
      <c r="AQ102" s="64">
        <f t="shared" si="195"/>
        <v>21.5</v>
      </c>
      <c r="AR102" s="64">
        <f t="shared" si="196"/>
        <v>11.5</v>
      </c>
      <c r="AS102" s="88">
        <f t="shared" si="197"/>
        <v>1.1830000000000001</v>
      </c>
      <c r="AT102" s="91">
        <f t="shared" si="249"/>
        <v>283</v>
      </c>
      <c r="AU102" s="94"/>
      <c r="AV102" s="95"/>
      <c r="AW102" s="56">
        <f t="shared" si="174"/>
        <v>0</v>
      </c>
      <c r="AX102" s="351"/>
      <c r="AY102" s="100">
        <f t="shared" si="201"/>
        <v>9.9166666666666661</v>
      </c>
      <c r="AZ102" s="360"/>
      <c r="BA102" s="91">
        <f t="shared" si="260"/>
        <v>-926.86254699999881</v>
      </c>
      <c r="BB102" s="5">
        <f t="shared" si="134"/>
        <v>-9.9166666666666661</v>
      </c>
      <c r="BC102" s="363"/>
      <c r="BD102" s="91" t="e">
        <f t="shared" ca="1" si="175"/>
        <v>#N/A</v>
      </c>
      <c r="BE102" s="91" t="e">
        <f t="shared" ca="1" si="176"/>
        <v>#N/A</v>
      </c>
      <c r="BF102" s="91">
        <f t="shared" si="177"/>
        <v>31.833333333333329</v>
      </c>
      <c r="BG102" s="91" t="e">
        <f t="shared" ca="1" si="178"/>
        <v>#N/A</v>
      </c>
      <c r="BH102" s="91" t="e">
        <f t="shared" ca="1" si="221"/>
        <v>#N/A</v>
      </c>
      <c r="BI102" s="10" t="e">
        <f t="shared" ca="1" si="192"/>
        <v>#N/A</v>
      </c>
      <c r="BJ102" s="104">
        <f>((M102+Q102)*AJ102+AK102)+((U102-W102+W102/('Vergleich Holz Strom'!$B$8-0.6))*AO102+AP102)</f>
        <v>21.916666666666664</v>
      </c>
      <c r="BK102" s="10" t="e">
        <f t="shared" ca="1" si="135"/>
        <v>#N/A</v>
      </c>
      <c r="BL102" s="379"/>
      <c r="BM102" s="104" t="e">
        <f t="shared" ca="1" si="188"/>
        <v>#N/A</v>
      </c>
      <c r="BN102" s="40" t="e">
        <f ca="1">IF(ISNUMBER(BK102),BN101+SUMIF(BK98:BK109,"&lt;&gt;#NV",BK98:BK109)/COUNTIF(BK98:BK109,"&lt;&gt;#NV"),#N/A)</f>
        <v>#N/A</v>
      </c>
      <c r="BO102" s="10" t="e">
        <f t="shared" ca="1" si="255"/>
        <v>#N/A</v>
      </c>
      <c r="BP102" s="104" t="e">
        <f t="shared" ca="1" si="136"/>
        <v>#N/A</v>
      </c>
      <c r="BQ102" s="104">
        <f t="shared" ca="1" si="154"/>
        <v>-61180.969213666525</v>
      </c>
      <c r="BR102" s="10">
        <f t="shared" si="179"/>
        <v>9.9166666666666661</v>
      </c>
      <c r="BS102" s="311"/>
      <c r="BT102" s="307"/>
      <c r="BU102" s="295">
        <f t="shared" si="180"/>
        <v>0</v>
      </c>
      <c r="BV102" s="323"/>
      <c r="BW102" s="299">
        <f t="shared" si="181"/>
        <v>0</v>
      </c>
      <c r="BX102" s="295">
        <f t="shared" si="182"/>
        <v>0</v>
      </c>
      <c r="BY102" s="382"/>
      <c r="BZ102" s="299">
        <f t="shared" si="189"/>
        <v>0</v>
      </c>
      <c r="CA102" s="295">
        <f t="shared" si="193"/>
        <v>0</v>
      </c>
      <c r="CB102" s="323"/>
      <c r="CC102" s="314">
        <f t="shared" si="268"/>
        <v>0</v>
      </c>
      <c r="CD102" s="326"/>
      <c r="CE102" s="299">
        <f t="shared" si="183"/>
        <v>0</v>
      </c>
      <c r="CF102" s="284">
        <f t="shared" si="269"/>
        <v>0</v>
      </c>
      <c r="CG102" s="323"/>
      <c r="CH102" s="302">
        <f t="shared" si="217"/>
        <v>0</v>
      </c>
      <c r="CI102" s="108">
        <f t="shared" si="184"/>
        <v>0</v>
      </c>
      <c r="CJ102" s="200">
        <f t="shared" si="185"/>
        <v>0</v>
      </c>
      <c r="CK102" s="197">
        <f t="shared" si="199"/>
        <v>0</v>
      </c>
      <c r="CL102" s="203">
        <f t="shared" si="186"/>
        <v>12</v>
      </c>
      <c r="CM102" s="4">
        <f>U102*Jahresdaten!$AD$2</f>
        <v>0</v>
      </c>
      <c r="CN102" s="112">
        <f>CJ102*Jahresdaten!$AD$2</f>
        <v>0</v>
      </c>
      <c r="CO102" s="366"/>
      <c r="CP102" s="116">
        <f>U102*Jahresdaten!$AD$3</f>
        <v>0</v>
      </c>
      <c r="CQ102" s="12">
        <f>CJ102*Jahresdaten!$AD$3</f>
        <v>0</v>
      </c>
      <c r="CR102" s="353"/>
      <c r="CS102" s="14"/>
      <c r="CT102" s="136"/>
      <c r="CU102" s="140" t="str">
        <f>IF(CT102=0,"",CT102*'Vergleich Holz Strom'!$B$2)</f>
        <v/>
      </c>
      <c r="CV102" s="353"/>
      <c r="CW102" s="366"/>
      <c r="CX102" s="345"/>
      <c r="CY102" s="345"/>
      <c r="CZ102" s="345"/>
      <c r="DA102" s="348"/>
      <c r="DB102" s="94"/>
      <c r="DC102" s="88">
        <f t="shared" si="202"/>
        <v>15777.92800000002</v>
      </c>
      <c r="DD102" s="94"/>
      <c r="DE102" s="88">
        <f t="shared" si="205"/>
        <v>-11836.112547000001</v>
      </c>
      <c r="DF102" s="100" t="e">
        <f ca="1">BE102+(SUM(CS98:CS109)/12)</f>
        <v>#N/A</v>
      </c>
      <c r="DG102" s="351"/>
      <c r="DH102" s="8">
        <f t="shared" si="261"/>
        <v>0</v>
      </c>
      <c r="DI102" s="123">
        <f t="shared" si="137"/>
        <v>9600</v>
      </c>
      <c r="DJ102" s="2">
        <f t="shared" si="262"/>
        <v>0</v>
      </c>
      <c r="DK102" s="127">
        <f>DK109/12*5</f>
        <v>3250</v>
      </c>
      <c r="DL102" s="2">
        <f t="shared" si="114"/>
        <v>650</v>
      </c>
      <c r="DM102" s="130">
        <f t="shared" si="263"/>
        <v>0</v>
      </c>
      <c r="DN102" s="3">
        <f>DN109/12*5</f>
        <v>1250</v>
      </c>
      <c r="DO102" s="130">
        <f t="shared" si="116"/>
        <v>250</v>
      </c>
      <c r="DP102" s="4">
        <f t="shared" si="264"/>
        <v>0</v>
      </c>
      <c r="DQ102" s="116">
        <f t="shared" si="265"/>
        <v>5100</v>
      </c>
      <c r="DR102" s="116">
        <f t="shared" si="270"/>
        <v>1350</v>
      </c>
    </row>
    <row r="103" spans="1:122" ht="14.25" customHeight="1" thickBot="1" x14ac:dyDescent="0.2">
      <c r="A103" s="416"/>
      <c r="B103" s="16">
        <v>46447</v>
      </c>
      <c r="C103" s="207">
        <f>'PV-Felder'!$I$4</f>
        <v>1860</v>
      </c>
      <c r="D103" s="351"/>
      <c r="E103" s="61">
        <v>0</v>
      </c>
      <c r="F103" s="351"/>
      <c r="G103" s="56" t="e">
        <f t="shared" ca="1" si="171"/>
        <v>#N/A</v>
      </c>
      <c r="H103" s="351"/>
      <c r="I103" s="61">
        <v>0</v>
      </c>
      <c r="J103" s="351"/>
      <c r="K103" s="61">
        <v>0</v>
      </c>
      <c r="L103" s="351"/>
      <c r="M103" s="65">
        <f t="shared" si="190"/>
        <v>0</v>
      </c>
      <c r="N103" s="373"/>
      <c r="O103" s="288"/>
      <c r="P103" s="288"/>
      <c r="Q103" s="286">
        <f t="shared" si="172"/>
        <v>0</v>
      </c>
      <c r="R103" s="334"/>
      <c r="S103" s="61">
        <v>0</v>
      </c>
      <c r="T103" s="376"/>
      <c r="U103" s="61">
        <v>0</v>
      </c>
      <c r="V103" s="342"/>
      <c r="W103" s="61">
        <v>0</v>
      </c>
      <c r="X103" s="342"/>
      <c r="Y103" s="211" t="e">
        <f t="shared" si="272"/>
        <v>#N/A</v>
      </c>
      <c r="Z103" s="370"/>
      <c r="AA103" s="61">
        <v>0</v>
      </c>
      <c r="AB103" s="351"/>
      <c r="AC103" s="61">
        <v>0</v>
      </c>
      <c r="AD103" s="351"/>
      <c r="AE103" s="73" t="e">
        <f t="shared" si="131"/>
        <v>#N/A</v>
      </c>
      <c r="AF103" s="356"/>
      <c r="AG103" s="73" t="e">
        <f t="shared" si="132"/>
        <v>#N/A</v>
      </c>
      <c r="AH103" s="356"/>
      <c r="AI103" s="221">
        <f t="shared" si="266"/>
        <v>29.26</v>
      </c>
      <c r="AJ103" s="78">
        <f t="shared" ref="AJ103:AP103" si="274">AJ102</f>
        <v>0.26750000000000002</v>
      </c>
      <c r="AK103" s="79">
        <f t="shared" si="274"/>
        <v>9.9166666666666661</v>
      </c>
      <c r="AL103" s="80">
        <f t="shared" si="274"/>
        <v>187</v>
      </c>
      <c r="AM103" s="78">
        <f t="shared" si="274"/>
        <v>9.737942583732058E-2</v>
      </c>
      <c r="AN103" s="80">
        <f t="shared" si="274"/>
        <v>143</v>
      </c>
      <c r="AO103" s="78">
        <f t="shared" si="274"/>
        <v>0.21099999999999999</v>
      </c>
      <c r="AP103" s="88">
        <f t="shared" si="274"/>
        <v>12</v>
      </c>
      <c r="AQ103" s="64">
        <f t="shared" si="195"/>
        <v>21.5</v>
      </c>
      <c r="AR103" s="64">
        <f t="shared" si="196"/>
        <v>11.5</v>
      </c>
      <c r="AS103" s="88">
        <f t="shared" si="197"/>
        <v>1.1830000000000001</v>
      </c>
      <c r="AT103" s="91">
        <f t="shared" si="249"/>
        <v>283</v>
      </c>
      <c r="AU103" s="94"/>
      <c r="AV103" s="95"/>
      <c r="AW103" s="56">
        <f t="shared" si="174"/>
        <v>0</v>
      </c>
      <c r="AX103" s="351"/>
      <c r="AY103" s="100">
        <f t="shared" si="201"/>
        <v>9.9166666666666661</v>
      </c>
      <c r="AZ103" s="360"/>
      <c r="BA103" s="91">
        <f t="shared" si="260"/>
        <v>-936.77921366666544</v>
      </c>
      <c r="BB103" s="5">
        <f t="shared" si="134"/>
        <v>-9.9166666666666661</v>
      </c>
      <c r="BC103" s="363"/>
      <c r="BD103" s="91" t="e">
        <f t="shared" ca="1" si="175"/>
        <v>#N/A</v>
      </c>
      <c r="BE103" s="91" t="e">
        <f t="shared" ca="1" si="176"/>
        <v>#N/A</v>
      </c>
      <c r="BF103" s="91">
        <f t="shared" si="177"/>
        <v>31.833333333333329</v>
      </c>
      <c r="BG103" s="91" t="e">
        <f t="shared" ca="1" si="178"/>
        <v>#N/A</v>
      </c>
      <c r="BH103" s="91" t="e">
        <f t="shared" ca="1" si="221"/>
        <v>#N/A</v>
      </c>
      <c r="BI103" s="10" t="e">
        <f t="shared" ca="1" si="192"/>
        <v>#N/A</v>
      </c>
      <c r="BJ103" s="104">
        <f>((M103+Q103)*AJ103+AK103)+((U103-W103+W103/('Vergleich Holz Strom'!$B$8-0.6))*AO103+AP103)</f>
        <v>21.916666666666664</v>
      </c>
      <c r="BK103" s="10" t="e">
        <f t="shared" ca="1" si="135"/>
        <v>#N/A</v>
      </c>
      <c r="BL103" s="379"/>
      <c r="BM103" s="104" t="e">
        <f t="shared" ca="1" si="188"/>
        <v>#N/A</v>
      </c>
      <c r="BN103" s="40" t="e">
        <f ca="1">IF(ISNUMBER(BK103),BN102+SUMIF(BK98:BK109,"&lt;&gt;#NV",BK98:BK109)/COUNTIF(BK98:BK109,"&lt;&gt;#NV"),#N/A)</f>
        <v>#N/A</v>
      </c>
      <c r="BO103" s="10" t="e">
        <f t="shared" ca="1" si="255"/>
        <v>#N/A</v>
      </c>
      <c r="BP103" s="104" t="e">
        <f t="shared" ca="1" si="136"/>
        <v>#N/A</v>
      </c>
      <c r="BQ103" s="104">
        <f t="shared" ca="1" si="154"/>
        <v>-61161.769213666528</v>
      </c>
      <c r="BR103" s="10">
        <f t="shared" si="179"/>
        <v>9.9166666666666661</v>
      </c>
      <c r="BS103" s="311"/>
      <c r="BT103" s="307"/>
      <c r="BU103" s="295">
        <f t="shared" si="180"/>
        <v>0</v>
      </c>
      <c r="BV103" s="323"/>
      <c r="BW103" s="299">
        <f t="shared" si="181"/>
        <v>0</v>
      </c>
      <c r="BX103" s="295">
        <f t="shared" si="182"/>
        <v>0</v>
      </c>
      <c r="BY103" s="382"/>
      <c r="BZ103" s="299">
        <f t="shared" si="189"/>
        <v>0</v>
      </c>
      <c r="CA103" s="295">
        <f t="shared" si="193"/>
        <v>0</v>
      </c>
      <c r="CB103" s="323"/>
      <c r="CC103" s="314">
        <f t="shared" si="268"/>
        <v>0</v>
      </c>
      <c r="CD103" s="326"/>
      <c r="CE103" s="299">
        <f t="shared" si="183"/>
        <v>0</v>
      </c>
      <c r="CF103" s="284">
        <f t="shared" si="269"/>
        <v>0</v>
      </c>
      <c r="CG103" s="323"/>
      <c r="CH103" s="302">
        <f t="shared" si="217"/>
        <v>0</v>
      </c>
      <c r="CI103" s="108">
        <f t="shared" si="184"/>
        <v>0</v>
      </c>
      <c r="CJ103" s="200">
        <f t="shared" si="185"/>
        <v>0</v>
      </c>
      <c r="CK103" s="197">
        <f t="shared" si="199"/>
        <v>0</v>
      </c>
      <c r="CL103" s="203">
        <f t="shared" si="186"/>
        <v>12</v>
      </c>
      <c r="CM103" s="4">
        <f>U103*Jahresdaten!$AD$2</f>
        <v>0</v>
      </c>
      <c r="CN103" s="112">
        <f>CJ103*Jahresdaten!$AD$2</f>
        <v>0</v>
      </c>
      <c r="CO103" s="366"/>
      <c r="CP103" s="116">
        <f>U103*Jahresdaten!$AD$3</f>
        <v>0</v>
      </c>
      <c r="CQ103" s="12">
        <f>CJ103*Jahresdaten!$AD$3</f>
        <v>0</v>
      </c>
      <c r="CR103" s="353"/>
      <c r="CS103" s="14"/>
      <c r="CT103" s="136"/>
      <c r="CU103" s="140" t="str">
        <f>IF(CT103=0,"",CT103*'Vergleich Holz Strom'!$B$2)</f>
        <v/>
      </c>
      <c r="CV103" s="353"/>
      <c r="CW103" s="366"/>
      <c r="CX103" s="345"/>
      <c r="CY103" s="345"/>
      <c r="CZ103" s="345"/>
      <c r="DA103" s="348"/>
      <c r="DB103" s="94"/>
      <c r="DC103" s="88">
        <f t="shared" si="202"/>
        <v>15955.011333333354</v>
      </c>
      <c r="DD103" s="94"/>
      <c r="DE103" s="88">
        <f t="shared" si="205"/>
        <v>-11979.112547000001</v>
      </c>
      <c r="DF103" s="100" t="e">
        <f ca="1">BE103+(SUM(CS98:CS109)/12)</f>
        <v>#N/A</v>
      </c>
      <c r="DG103" s="351"/>
      <c r="DH103" s="8">
        <f t="shared" si="261"/>
        <v>0</v>
      </c>
      <c r="DI103" s="123">
        <f t="shared" si="137"/>
        <v>11850</v>
      </c>
      <c r="DJ103" s="2">
        <f t="shared" si="262"/>
        <v>0</v>
      </c>
      <c r="DK103" s="127">
        <f>DK109/12*6</f>
        <v>3900</v>
      </c>
      <c r="DL103" s="2">
        <f t="shared" ref="DL103:DL109" si="275">DL102</f>
        <v>650</v>
      </c>
      <c r="DM103" s="130">
        <f t="shared" si="263"/>
        <v>0</v>
      </c>
      <c r="DN103" s="3">
        <f>DN109/12*6</f>
        <v>1500</v>
      </c>
      <c r="DO103" s="130">
        <f t="shared" ref="DO103:DO109" si="276">DO102</f>
        <v>250</v>
      </c>
      <c r="DP103" s="4">
        <f t="shared" si="264"/>
        <v>0</v>
      </c>
      <c r="DQ103" s="116">
        <f t="shared" si="265"/>
        <v>6450</v>
      </c>
      <c r="DR103" s="116">
        <f t="shared" si="270"/>
        <v>1350</v>
      </c>
    </row>
    <row r="104" spans="1:122" ht="15" customHeight="1" thickBot="1" x14ac:dyDescent="0.2">
      <c r="A104" s="416"/>
      <c r="B104" s="16">
        <v>46478</v>
      </c>
      <c r="C104" s="207">
        <f>'PV-Felder'!$I$5</f>
        <v>2887.3</v>
      </c>
      <c r="D104" s="351"/>
      <c r="E104" s="61">
        <v>0</v>
      </c>
      <c r="F104" s="351"/>
      <c r="G104" s="56" t="e">
        <f t="shared" ca="1" si="171"/>
        <v>#N/A</v>
      </c>
      <c r="H104" s="351"/>
      <c r="I104" s="61">
        <v>0</v>
      </c>
      <c r="J104" s="351"/>
      <c r="K104" s="61">
        <v>0</v>
      </c>
      <c r="L104" s="351"/>
      <c r="M104" s="65">
        <f t="shared" si="190"/>
        <v>0</v>
      </c>
      <c r="N104" s="373"/>
      <c r="O104" s="288"/>
      <c r="P104" s="288"/>
      <c r="Q104" s="286">
        <f t="shared" si="172"/>
        <v>0</v>
      </c>
      <c r="R104" s="334"/>
      <c r="S104" s="61">
        <v>0</v>
      </c>
      <c r="T104" s="376"/>
      <c r="U104" s="61">
        <v>0</v>
      </c>
      <c r="V104" s="342"/>
      <c r="W104" s="61">
        <v>0</v>
      </c>
      <c r="X104" s="342"/>
      <c r="Y104" s="211" t="e">
        <f t="shared" si="272"/>
        <v>#N/A</v>
      </c>
      <c r="Z104" s="370"/>
      <c r="AA104" s="61">
        <v>0</v>
      </c>
      <c r="AB104" s="351"/>
      <c r="AC104" s="61">
        <v>0</v>
      </c>
      <c r="AD104" s="351"/>
      <c r="AE104" s="73" t="e">
        <f t="shared" si="131"/>
        <v>#N/A</v>
      </c>
      <c r="AF104" s="356"/>
      <c r="AG104" s="73" t="e">
        <f t="shared" si="132"/>
        <v>#N/A</v>
      </c>
      <c r="AH104" s="356"/>
      <c r="AI104" s="221">
        <f t="shared" si="266"/>
        <v>29.26</v>
      </c>
      <c r="AJ104" s="78">
        <f t="shared" ref="AJ104:AP104" si="277">AJ103</f>
        <v>0.26750000000000002</v>
      </c>
      <c r="AK104" s="79">
        <f t="shared" si="277"/>
        <v>9.9166666666666661</v>
      </c>
      <c r="AL104" s="80">
        <f t="shared" si="277"/>
        <v>187</v>
      </c>
      <c r="AM104" s="78">
        <f t="shared" si="277"/>
        <v>9.737942583732058E-2</v>
      </c>
      <c r="AN104" s="80">
        <f t="shared" si="277"/>
        <v>143</v>
      </c>
      <c r="AO104" s="78">
        <f t="shared" si="277"/>
        <v>0.21099999999999999</v>
      </c>
      <c r="AP104" s="88">
        <f t="shared" si="277"/>
        <v>12</v>
      </c>
      <c r="AQ104" s="64">
        <f t="shared" si="195"/>
        <v>21.5</v>
      </c>
      <c r="AR104" s="64">
        <f t="shared" si="196"/>
        <v>11.5</v>
      </c>
      <c r="AS104" s="88">
        <f t="shared" si="197"/>
        <v>1.1830000000000001</v>
      </c>
      <c r="AT104" s="91">
        <f t="shared" si="249"/>
        <v>283</v>
      </c>
      <c r="AU104" s="94"/>
      <c r="AV104" s="95"/>
      <c r="AW104" s="56">
        <f t="shared" si="174"/>
        <v>0</v>
      </c>
      <c r="AX104" s="351"/>
      <c r="AY104" s="100">
        <f t="shared" si="201"/>
        <v>9.9166666666666661</v>
      </c>
      <c r="AZ104" s="360"/>
      <c r="BA104" s="91">
        <f t="shared" si="260"/>
        <v>-946.69588033333207</v>
      </c>
      <c r="BB104" s="5">
        <f t="shared" si="134"/>
        <v>-9.9166666666666661</v>
      </c>
      <c r="BC104" s="363"/>
      <c r="BD104" s="91" t="e">
        <f t="shared" ca="1" si="175"/>
        <v>#N/A</v>
      </c>
      <c r="BE104" s="91" t="e">
        <f t="shared" ca="1" si="176"/>
        <v>#N/A</v>
      </c>
      <c r="BF104" s="91">
        <f t="shared" si="177"/>
        <v>31.833333333333329</v>
      </c>
      <c r="BG104" s="91" t="e">
        <f t="shared" ca="1" si="178"/>
        <v>#N/A</v>
      </c>
      <c r="BH104" s="91" t="e">
        <f t="shared" ca="1" si="221"/>
        <v>#N/A</v>
      </c>
      <c r="BI104" s="10" t="e">
        <f t="shared" ca="1" si="192"/>
        <v>#N/A</v>
      </c>
      <c r="BJ104" s="104">
        <f>((M104+Q104)*AJ104+AK104)+((U104-W104+W104/('Vergleich Holz Strom'!$B$8-0.6))*AO104+AP104)</f>
        <v>21.916666666666664</v>
      </c>
      <c r="BK104" s="10" t="e">
        <f t="shared" ca="1" si="135"/>
        <v>#N/A</v>
      </c>
      <c r="BL104" s="379"/>
      <c r="BM104" s="104" t="e">
        <f t="shared" ca="1" si="188"/>
        <v>#N/A</v>
      </c>
      <c r="BN104" s="40" t="e">
        <f ca="1">IF(ISNUMBER(BK104),BN103+SUMIF(BK98:BK109,"&lt;&gt;#NV",BK98:BK109)/COUNTIF(BK98:BK109,"&lt;&gt;#NV"),#N/A)</f>
        <v>#N/A</v>
      </c>
      <c r="BO104" s="10" t="e">
        <f t="shared" ca="1" si="255"/>
        <v>#N/A</v>
      </c>
      <c r="BP104" s="104" t="e">
        <f t="shared" ca="1" si="136"/>
        <v>#N/A</v>
      </c>
      <c r="BQ104" s="104">
        <f t="shared" ca="1" si="154"/>
        <v>-61142.569213666502</v>
      </c>
      <c r="BR104" s="10">
        <f t="shared" si="179"/>
        <v>9.9166666666666661</v>
      </c>
      <c r="BS104" s="311"/>
      <c r="BT104" s="307"/>
      <c r="BU104" s="295">
        <f t="shared" si="180"/>
        <v>0</v>
      </c>
      <c r="BV104" s="323"/>
      <c r="BW104" s="299">
        <f t="shared" si="181"/>
        <v>0</v>
      </c>
      <c r="BX104" s="295">
        <f t="shared" si="182"/>
        <v>0</v>
      </c>
      <c r="BY104" s="382"/>
      <c r="BZ104" s="299">
        <f t="shared" si="189"/>
        <v>0</v>
      </c>
      <c r="CA104" s="295">
        <f t="shared" si="193"/>
        <v>0</v>
      </c>
      <c r="CB104" s="323"/>
      <c r="CC104" s="314">
        <f t="shared" si="268"/>
        <v>0</v>
      </c>
      <c r="CD104" s="326"/>
      <c r="CE104" s="299">
        <f t="shared" si="183"/>
        <v>0</v>
      </c>
      <c r="CF104" s="284">
        <f t="shared" si="269"/>
        <v>0</v>
      </c>
      <c r="CG104" s="323"/>
      <c r="CH104" s="302">
        <f t="shared" si="217"/>
        <v>0</v>
      </c>
      <c r="CI104" s="108">
        <f t="shared" si="184"/>
        <v>0</v>
      </c>
      <c r="CJ104" s="200">
        <f t="shared" si="185"/>
        <v>0</v>
      </c>
      <c r="CK104" s="197">
        <f t="shared" si="199"/>
        <v>0</v>
      </c>
      <c r="CL104" s="203">
        <f t="shared" si="186"/>
        <v>12</v>
      </c>
      <c r="CM104" s="4">
        <f>U104*Jahresdaten!$AD$2</f>
        <v>0</v>
      </c>
      <c r="CN104" s="112">
        <f>CJ104*Jahresdaten!$AD$2</f>
        <v>0</v>
      </c>
      <c r="CO104" s="366"/>
      <c r="CP104" s="116">
        <f>U104*Jahresdaten!$AD$3</f>
        <v>0</v>
      </c>
      <c r="CQ104" s="12">
        <f>CJ104*Jahresdaten!$AD$3</f>
        <v>0</v>
      </c>
      <c r="CR104" s="353"/>
      <c r="CS104" s="14"/>
      <c r="CT104" s="136"/>
      <c r="CU104" s="140" t="str">
        <f>IF(CT104=0,"",CT104*'Vergleich Holz Strom'!$B$2)</f>
        <v/>
      </c>
      <c r="CV104" s="121" t="s">
        <v>6</v>
      </c>
      <c r="CW104" s="366"/>
      <c r="CX104" s="345"/>
      <c r="CY104" s="345"/>
      <c r="CZ104" s="345"/>
      <c r="DA104" s="348"/>
      <c r="DB104" s="94"/>
      <c r="DC104" s="88">
        <f t="shared" si="202"/>
        <v>16132.094666666688</v>
      </c>
      <c r="DD104" s="94"/>
      <c r="DE104" s="88">
        <f t="shared" si="205"/>
        <v>-12122.112547000001</v>
      </c>
      <c r="DF104" s="100" t="e">
        <f ca="1">BE104+(SUM(CS98:CS109)/12)</f>
        <v>#N/A</v>
      </c>
      <c r="DG104" s="351"/>
      <c r="DH104" s="8">
        <f t="shared" si="261"/>
        <v>0</v>
      </c>
      <c r="DI104" s="123">
        <f t="shared" si="137"/>
        <v>14000</v>
      </c>
      <c r="DJ104" s="2">
        <f t="shared" si="262"/>
        <v>0</v>
      </c>
      <c r="DK104" s="127">
        <f>DK109/12*7</f>
        <v>4550</v>
      </c>
      <c r="DL104" s="2">
        <f t="shared" si="275"/>
        <v>650</v>
      </c>
      <c r="DM104" s="130">
        <f t="shared" si="263"/>
        <v>0</v>
      </c>
      <c r="DN104" s="3">
        <f>DN109/12*7</f>
        <v>1750</v>
      </c>
      <c r="DO104" s="130">
        <f t="shared" si="276"/>
        <v>250</v>
      </c>
      <c r="DP104" s="4">
        <f t="shared" si="264"/>
        <v>0</v>
      </c>
      <c r="DQ104" s="116">
        <f t="shared" si="265"/>
        <v>7700</v>
      </c>
      <c r="DR104" s="116">
        <f t="shared" si="270"/>
        <v>1250</v>
      </c>
    </row>
    <row r="105" spans="1:122" ht="14.25" customHeight="1" thickBot="1" x14ac:dyDescent="0.2">
      <c r="A105" s="416"/>
      <c r="B105" s="16">
        <v>46508</v>
      </c>
      <c r="C105" s="207">
        <f>'PV-Felder'!$I$6</f>
        <v>3391.3999999999996</v>
      </c>
      <c r="D105" s="351"/>
      <c r="E105" s="61">
        <v>0</v>
      </c>
      <c r="F105" s="351"/>
      <c r="G105" s="56" t="e">
        <f t="shared" ca="1" si="171"/>
        <v>#N/A</v>
      </c>
      <c r="H105" s="351"/>
      <c r="I105" s="61">
        <v>0</v>
      </c>
      <c r="J105" s="351"/>
      <c r="K105" s="61">
        <v>0</v>
      </c>
      <c r="L105" s="351"/>
      <c r="M105" s="65">
        <f t="shared" si="190"/>
        <v>0</v>
      </c>
      <c r="N105" s="373"/>
      <c r="O105" s="288"/>
      <c r="P105" s="288"/>
      <c r="Q105" s="286">
        <f t="shared" si="172"/>
        <v>0</v>
      </c>
      <c r="R105" s="334"/>
      <c r="S105" s="61">
        <v>0</v>
      </c>
      <c r="T105" s="376"/>
      <c r="U105" s="61">
        <v>0</v>
      </c>
      <c r="V105" s="342"/>
      <c r="W105" s="61">
        <v>0</v>
      </c>
      <c r="X105" s="342"/>
      <c r="Y105" s="211" t="e">
        <f t="shared" si="272"/>
        <v>#N/A</v>
      </c>
      <c r="Z105" s="370"/>
      <c r="AA105" s="61">
        <v>0</v>
      </c>
      <c r="AB105" s="351"/>
      <c r="AC105" s="61">
        <v>0</v>
      </c>
      <c r="AD105" s="351"/>
      <c r="AE105" s="73" t="e">
        <f t="shared" si="131"/>
        <v>#N/A</v>
      </c>
      <c r="AF105" s="356"/>
      <c r="AG105" s="73" t="e">
        <f t="shared" si="132"/>
        <v>#N/A</v>
      </c>
      <c r="AH105" s="356"/>
      <c r="AI105" s="221">
        <f t="shared" si="266"/>
        <v>29.26</v>
      </c>
      <c r="AJ105" s="78">
        <f t="shared" ref="AJ105:AP105" si="278">AJ104</f>
        <v>0.26750000000000002</v>
      </c>
      <c r="AK105" s="79">
        <f t="shared" si="278"/>
        <v>9.9166666666666661</v>
      </c>
      <c r="AL105" s="80">
        <f t="shared" si="278"/>
        <v>187</v>
      </c>
      <c r="AM105" s="78">
        <f t="shared" si="278"/>
        <v>9.737942583732058E-2</v>
      </c>
      <c r="AN105" s="80">
        <f t="shared" si="278"/>
        <v>143</v>
      </c>
      <c r="AO105" s="78">
        <f t="shared" si="278"/>
        <v>0.21099999999999999</v>
      </c>
      <c r="AP105" s="88">
        <f t="shared" si="278"/>
        <v>12</v>
      </c>
      <c r="AQ105" s="64">
        <f t="shared" si="195"/>
        <v>21.5</v>
      </c>
      <c r="AR105" s="64">
        <f t="shared" si="196"/>
        <v>11.5</v>
      </c>
      <c r="AS105" s="88">
        <f t="shared" si="197"/>
        <v>1.1830000000000001</v>
      </c>
      <c r="AT105" s="91">
        <f t="shared" si="249"/>
        <v>283</v>
      </c>
      <c r="AU105" s="94"/>
      <c r="AV105" s="95"/>
      <c r="AW105" s="56">
        <f t="shared" si="174"/>
        <v>0</v>
      </c>
      <c r="AX105" s="351"/>
      <c r="AY105" s="100">
        <f t="shared" si="201"/>
        <v>9.9166666666666661</v>
      </c>
      <c r="AZ105" s="360"/>
      <c r="BA105" s="91">
        <f t="shared" si="260"/>
        <v>-956.6125469999987</v>
      </c>
      <c r="BB105" s="5">
        <f t="shared" si="134"/>
        <v>-9.9166666666666661</v>
      </c>
      <c r="BC105" s="363"/>
      <c r="BD105" s="91" t="e">
        <f t="shared" ca="1" si="175"/>
        <v>#N/A</v>
      </c>
      <c r="BE105" s="91" t="e">
        <f t="shared" ca="1" si="176"/>
        <v>#N/A</v>
      </c>
      <c r="BF105" s="91">
        <f t="shared" si="177"/>
        <v>31.833333333333329</v>
      </c>
      <c r="BG105" s="91" t="e">
        <f t="shared" ca="1" si="178"/>
        <v>#N/A</v>
      </c>
      <c r="BH105" s="91" t="e">
        <f t="shared" ca="1" si="221"/>
        <v>#N/A</v>
      </c>
      <c r="BI105" s="10" t="e">
        <f t="shared" ca="1" si="192"/>
        <v>#N/A</v>
      </c>
      <c r="BJ105" s="104">
        <f>((M105+Q105)*AJ105+AK105)+((U105-W105+W105/('Vergleich Holz Strom'!$B$8-0.6))*AO105+AP105)</f>
        <v>21.916666666666664</v>
      </c>
      <c r="BK105" s="10" t="e">
        <f t="shared" ca="1" si="135"/>
        <v>#N/A</v>
      </c>
      <c r="BL105" s="379"/>
      <c r="BM105" s="104" t="e">
        <f t="shared" ca="1" si="188"/>
        <v>#N/A</v>
      </c>
      <c r="BN105" s="40" t="e">
        <f ca="1">IF(ISNUMBER(BK105),BN104+SUMIF(BK98:BK109,"&lt;&gt;#NV",BK98:BK109)/COUNTIF(BK98:BK109,"&lt;&gt;#NV"),#N/A)</f>
        <v>#N/A</v>
      </c>
      <c r="BO105" s="10" t="e">
        <f t="shared" ca="1" si="255"/>
        <v>#N/A</v>
      </c>
      <c r="BP105" s="104" t="e">
        <f t="shared" ca="1" si="136"/>
        <v>#N/A</v>
      </c>
      <c r="BQ105" s="104">
        <f t="shared" ca="1" si="154"/>
        <v>-61123.36921366649</v>
      </c>
      <c r="BR105" s="10">
        <f t="shared" si="179"/>
        <v>9.9166666666666661</v>
      </c>
      <c r="BS105" s="311"/>
      <c r="BT105" s="307"/>
      <c r="BU105" s="295">
        <f t="shared" si="180"/>
        <v>0</v>
      </c>
      <c r="BV105" s="323"/>
      <c r="BW105" s="299">
        <f t="shared" si="181"/>
        <v>0</v>
      </c>
      <c r="BX105" s="295">
        <f t="shared" si="182"/>
        <v>0</v>
      </c>
      <c r="BY105" s="382"/>
      <c r="BZ105" s="299">
        <f t="shared" si="189"/>
        <v>0</v>
      </c>
      <c r="CA105" s="295">
        <f t="shared" si="193"/>
        <v>0</v>
      </c>
      <c r="CB105" s="323"/>
      <c r="CC105" s="314">
        <f t="shared" si="268"/>
        <v>0</v>
      </c>
      <c r="CD105" s="326"/>
      <c r="CE105" s="299">
        <f t="shared" si="183"/>
        <v>0</v>
      </c>
      <c r="CF105" s="284">
        <f t="shared" si="269"/>
        <v>0</v>
      </c>
      <c r="CG105" s="323"/>
      <c r="CH105" s="302">
        <f t="shared" si="217"/>
        <v>0</v>
      </c>
      <c r="CI105" s="108">
        <f t="shared" si="184"/>
        <v>0</v>
      </c>
      <c r="CJ105" s="200">
        <f t="shared" si="185"/>
        <v>0</v>
      </c>
      <c r="CK105" s="197">
        <f t="shared" si="199"/>
        <v>0</v>
      </c>
      <c r="CL105" s="203">
        <f t="shared" si="186"/>
        <v>12</v>
      </c>
      <c r="CM105" s="4">
        <f>U105*Jahresdaten!$AD$2</f>
        <v>0</v>
      </c>
      <c r="CN105" s="112">
        <f>CJ105*Jahresdaten!$AD$2</f>
        <v>0</v>
      </c>
      <c r="CO105" s="366"/>
      <c r="CP105" s="116">
        <f>U105*Jahresdaten!$AD$3</f>
        <v>0</v>
      </c>
      <c r="CQ105" s="12">
        <f>CJ105*Jahresdaten!$AD$3</f>
        <v>0</v>
      </c>
      <c r="CR105" s="353"/>
      <c r="CS105" s="14"/>
      <c r="CT105" s="136"/>
      <c r="CU105" s="140" t="str">
        <f>IF(CT105=0,"",CT105*'Vergleich Holz Strom'!$B$2)</f>
        <v/>
      </c>
      <c r="CV105" s="353">
        <f>SUM(CS98:CS109)</f>
        <v>1169</v>
      </c>
      <c r="CW105" s="366"/>
      <c r="CX105" s="345"/>
      <c r="CY105" s="345"/>
      <c r="CZ105" s="345"/>
      <c r="DA105" s="348"/>
      <c r="DB105" s="94"/>
      <c r="DC105" s="88">
        <f t="shared" si="202"/>
        <v>16309.178000000022</v>
      </c>
      <c r="DD105" s="94"/>
      <c r="DE105" s="88">
        <f t="shared" si="205"/>
        <v>-12265.112547000001</v>
      </c>
      <c r="DF105" s="100" t="e">
        <f ca="1">BE105+(SUM(CS98:CS109)/12)</f>
        <v>#N/A</v>
      </c>
      <c r="DG105" s="351"/>
      <c r="DH105" s="8">
        <f t="shared" si="261"/>
        <v>0</v>
      </c>
      <c r="DI105" s="123">
        <f t="shared" si="137"/>
        <v>16000</v>
      </c>
      <c r="DJ105" s="2">
        <f t="shared" si="262"/>
        <v>0</v>
      </c>
      <c r="DK105" s="127">
        <f>DK109/12*8</f>
        <v>5200</v>
      </c>
      <c r="DL105" s="2">
        <f t="shared" si="275"/>
        <v>650</v>
      </c>
      <c r="DM105" s="130">
        <f t="shared" si="263"/>
        <v>0</v>
      </c>
      <c r="DN105" s="3">
        <f>DN109/12*8</f>
        <v>2000</v>
      </c>
      <c r="DO105" s="130">
        <f t="shared" si="276"/>
        <v>250</v>
      </c>
      <c r="DP105" s="4">
        <f t="shared" si="264"/>
        <v>0</v>
      </c>
      <c r="DQ105" s="116">
        <f t="shared" si="265"/>
        <v>8800</v>
      </c>
      <c r="DR105" s="116">
        <f t="shared" si="270"/>
        <v>1100</v>
      </c>
    </row>
    <row r="106" spans="1:122" ht="14.25" customHeight="1" thickBot="1" x14ac:dyDescent="0.2">
      <c r="A106" s="416"/>
      <c r="B106" s="16">
        <v>46539</v>
      </c>
      <c r="C106" s="207">
        <f>'PV-Felder'!$I$7</f>
        <v>3595.6000000000004</v>
      </c>
      <c r="D106" s="351"/>
      <c r="E106" s="61">
        <v>0</v>
      </c>
      <c r="F106" s="351"/>
      <c r="G106" s="56" t="e">
        <f t="shared" ca="1" si="171"/>
        <v>#N/A</v>
      </c>
      <c r="H106" s="351"/>
      <c r="I106" s="61">
        <v>0</v>
      </c>
      <c r="J106" s="351"/>
      <c r="K106" s="61">
        <v>0</v>
      </c>
      <c r="L106" s="351"/>
      <c r="M106" s="65">
        <f t="shared" si="190"/>
        <v>0</v>
      </c>
      <c r="N106" s="373"/>
      <c r="O106" s="288"/>
      <c r="P106" s="288"/>
      <c r="Q106" s="286">
        <f t="shared" si="172"/>
        <v>0</v>
      </c>
      <c r="R106" s="334"/>
      <c r="S106" s="61">
        <v>0</v>
      </c>
      <c r="T106" s="376"/>
      <c r="U106" s="61">
        <v>0</v>
      </c>
      <c r="V106" s="342"/>
      <c r="W106" s="61">
        <v>0</v>
      </c>
      <c r="X106" s="342"/>
      <c r="Y106" s="211" t="e">
        <f t="shared" si="272"/>
        <v>#N/A</v>
      </c>
      <c r="Z106" s="370"/>
      <c r="AA106" s="61">
        <v>0</v>
      </c>
      <c r="AB106" s="351"/>
      <c r="AC106" s="61">
        <v>0</v>
      </c>
      <c r="AD106" s="351"/>
      <c r="AE106" s="73" t="e">
        <f t="shared" si="131"/>
        <v>#N/A</v>
      </c>
      <c r="AF106" s="356"/>
      <c r="AG106" s="73" t="e">
        <f t="shared" si="132"/>
        <v>#N/A</v>
      </c>
      <c r="AH106" s="356"/>
      <c r="AI106" s="221">
        <f t="shared" si="266"/>
        <v>29.26</v>
      </c>
      <c r="AJ106" s="78">
        <f t="shared" ref="AJ106:AP106" si="279">AJ105</f>
        <v>0.26750000000000002</v>
      </c>
      <c r="AK106" s="79">
        <f t="shared" si="279"/>
        <v>9.9166666666666661</v>
      </c>
      <c r="AL106" s="80">
        <f t="shared" si="279"/>
        <v>187</v>
      </c>
      <c r="AM106" s="78">
        <f t="shared" si="279"/>
        <v>9.737942583732058E-2</v>
      </c>
      <c r="AN106" s="80">
        <f t="shared" si="279"/>
        <v>143</v>
      </c>
      <c r="AO106" s="78">
        <f t="shared" si="279"/>
        <v>0.21099999999999999</v>
      </c>
      <c r="AP106" s="88">
        <f t="shared" si="279"/>
        <v>12</v>
      </c>
      <c r="AQ106" s="64">
        <f t="shared" si="195"/>
        <v>21.5</v>
      </c>
      <c r="AR106" s="64">
        <f t="shared" si="196"/>
        <v>11.5</v>
      </c>
      <c r="AS106" s="88">
        <f t="shared" si="197"/>
        <v>1.1830000000000001</v>
      </c>
      <c r="AT106" s="91">
        <f t="shared" si="249"/>
        <v>283</v>
      </c>
      <c r="AU106" s="94"/>
      <c r="AV106" s="95"/>
      <c r="AW106" s="56">
        <f t="shared" si="174"/>
        <v>0</v>
      </c>
      <c r="AX106" s="351"/>
      <c r="AY106" s="100">
        <f t="shared" si="201"/>
        <v>9.9166666666666661</v>
      </c>
      <c r="AZ106" s="360"/>
      <c r="BA106" s="91">
        <f t="shared" si="260"/>
        <v>-966.52921366666533</v>
      </c>
      <c r="BB106" s="5">
        <f t="shared" si="134"/>
        <v>-9.9166666666666661</v>
      </c>
      <c r="BC106" s="363"/>
      <c r="BD106" s="91" t="e">
        <f t="shared" ca="1" si="175"/>
        <v>#N/A</v>
      </c>
      <c r="BE106" s="91" t="e">
        <f t="shared" ca="1" si="176"/>
        <v>#N/A</v>
      </c>
      <c r="BF106" s="91">
        <f t="shared" si="177"/>
        <v>31.833333333333329</v>
      </c>
      <c r="BG106" s="91" t="e">
        <f t="shared" ca="1" si="178"/>
        <v>#N/A</v>
      </c>
      <c r="BH106" s="91" t="e">
        <f t="shared" ca="1" si="221"/>
        <v>#N/A</v>
      </c>
      <c r="BI106" s="10" t="e">
        <f t="shared" ca="1" si="192"/>
        <v>#N/A</v>
      </c>
      <c r="BJ106" s="104">
        <f>((M106+Q106)*AJ106+AK106)+((U106-W106+W106/('Vergleich Holz Strom'!$B$8-0.6))*AO106+AP106)</f>
        <v>21.916666666666664</v>
      </c>
      <c r="BK106" s="10" t="e">
        <f t="shared" ca="1" si="135"/>
        <v>#N/A</v>
      </c>
      <c r="BL106" s="379"/>
      <c r="BM106" s="104" t="e">
        <f t="shared" ca="1" si="188"/>
        <v>#N/A</v>
      </c>
      <c r="BN106" s="40" t="e">
        <f ca="1">IF(ISNUMBER(BK106),BN105+SUMIF(BK98:BK109,"&lt;&gt;#NV",BK98:BK109)/COUNTIF(BK98:BK109,"&lt;&gt;#NV"),#N/A)</f>
        <v>#N/A</v>
      </c>
      <c r="BO106" s="10" t="e">
        <f t="shared" ca="1" si="255"/>
        <v>#N/A</v>
      </c>
      <c r="BP106" s="104" t="e">
        <f t="shared" ca="1" si="136"/>
        <v>#N/A</v>
      </c>
      <c r="BQ106" s="104">
        <f t="shared" ca="1" si="154"/>
        <v>-61107.058102555384</v>
      </c>
      <c r="BR106" s="10">
        <f t="shared" si="179"/>
        <v>9.9166666666666661</v>
      </c>
      <c r="BS106" s="311"/>
      <c r="BT106" s="307"/>
      <c r="BU106" s="295">
        <f t="shared" si="180"/>
        <v>0</v>
      </c>
      <c r="BV106" s="323"/>
      <c r="BW106" s="299">
        <f t="shared" si="181"/>
        <v>0</v>
      </c>
      <c r="BX106" s="295">
        <f t="shared" si="182"/>
        <v>0</v>
      </c>
      <c r="BY106" s="382"/>
      <c r="BZ106" s="299">
        <f t="shared" si="189"/>
        <v>0</v>
      </c>
      <c r="CA106" s="295">
        <f t="shared" si="193"/>
        <v>0</v>
      </c>
      <c r="CB106" s="323"/>
      <c r="CC106" s="314">
        <f t="shared" si="268"/>
        <v>0</v>
      </c>
      <c r="CD106" s="326"/>
      <c r="CE106" s="299">
        <f t="shared" si="183"/>
        <v>0</v>
      </c>
      <c r="CF106" s="284">
        <f t="shared" si="269"/>
        <v>0</v>
      </c>
      <c r="CG106" s="323"/>
      <c r="CH106" s="302">
        <f t="shared" si="217"/>
        <v>0</v>
      </c>
      <c r="CI106" s="108">
        <f t="shared" si="184"/>
        <v>0</v>
      </c>
      <c r="CJ106" s="200">
        <f t="shared" si="185"/>
        <v>0</v>
      </c>
      <c r="CK106" s="197">
        <f t="shared" si="199"/>
        <v>0</v>
      </c>
      <c r="CL106" s="203">
        <f t="shared" si="186"/>
        <v>12</v>
      </c>
      <c r="CM106" s="4">
        <f>U106*Jahresdaten!$AD$2</f>
        <v>0</v>
      </c>
      <c r="CN106" s="112">
        <f>CJ106*Jahresdaten!$AD$2</f>
        <v>0</v>
      </c>
      <c r="CO106" s="366"/>
      <c r="CP106" s="116">
        <f>U106*Jahresdaten!$AD$3</f>
        <v>0</v>
      </c>
      <c r="CQ106" s="12">
        <f>CJ106*Jahresdaten!$AD$3</f>
        <v>0</v>
      </c>
      <c r="CR106" s="353"/>
      <c r="CS106" s="14"/>
      <c r="CT106" s="136"/>
      <c r="CU106" s="140" t="str">
        <f>IF(CT106=0,"",CT106*'Vergleich Holz Strom'!$B$2)</f>
        <v/>
      </c>
      <c r="CV106" s="353"/>
      <c r="CW106" s="366"/>
      <c r="CX106" s="345"/>
      <c r="CY106" s="345"/>
      <c r="CZ106" s="345"/>
      <c r="DA106" s="348"/>
      <c r="DB106" s="94"/>
      <c r="DC106" s="88">
        <f t="shared" si="202"/>
        <v>16486.261333333354</v>
      </c>
      <c r="DD106" s="94"/>
      <c r="DE106" s="88">
        <f t="shared" si="205"/>
        <v>-12408.112547000001</v>
      </c>
      <c r="DF106" s="100" t="e">
        <f ca="1">BE106+(SUM(CS98:CS109)/12)</f>
        <v>#N/A</v>
      </c>
      <c r="DG106" s="351"/>
      <c r="DH106" s="8">
        <f t="shared" si="261"/>
        <v>0</v>
      </c>
      <c r="DI106" s="123">
        <f t="shared" si="137"/>
        <v>17200</v>
      </c>
      <c r="DJ106" s="2">
        <f t="shared" si="262"/>
        <v>0</v>
      </c>
      <c r="DK106" s="127">
        <f>DK109/12*9</f>
        <v>5850</v>
      </c>
      <c r="DL106" s="2">
        <f t="shared" si="275"/>
        <v>650</v>
      </c>
      <c r="DM106" s="130">
        <f t="shared" si="263"/>
        <v>0</v>
      </c>
      <c r="DN106" s="3">
        <f>DN109/12*9</f>
        <v>2250</v>
      </c>
      <c r="DO106" s="130">
        <f t="shared" si="276"/>
        <v>250</v>
      </c>
      <c r="DP106" s="4">
        <f t="shared" si="264"/>
        <v>0</v>
      </c>
      <c r="DQ106" s="116">
        <f t="shared" si="265"/>
        <v>9100</v>
      </c>
      <c r="DR106" s="116">
        <f t="shared" si="270"/>
        <v>300</v>
      </c>
    </row>
    <row r="107" spans="1:122" ht="14.25" customHeight="1" thickBot="1" x14ac:dyDescent="0.2">
      <c r="A107" s="416"/>
      <c r="B107" s="16">
        <v>46569</v>
      </c>
      <c r="C107" s="207">
        <f>'PV-Felder'!$I$8</f>
        <v>3593.8</v>
      </c>
      <c r="D107" s="351"/>
      <c r="E107" s="61">
        <v>0</v>
      </c>
      <c r="F107" s="351"/>
      <c r="G107" s="56" t="e">
        <f t="shared" ca="1" si="171"/>
        <v>#N/A</v>
      </c>
      <c r="H107" s="351"/>
      <c r="I107" s="61">
        <v>0</v>
      </c>
      <c r="J107" s="351"/>
      <c r="K107" s="61">
        <v>0</v>
      </c>
      <c r="L107" s="351"/>
      <c r="M107" s="65">
        <f t="shared" si="190"/>
        <v>0</v>
      </c>
      <c r="N107" s="373"/>
      <c r="O107" s="288"/>
      <c r="P107" s="288"/>
      <c r="Q107" s="286">
        <f t="shared" si="172"/>
        <v>0</v>
      </c>
      <c r="R107" s="334"/>
      <c r="S107" s="61">
        <v>0</v>
      </c>
      <c r="T107" s="376"/>
      <c r="U107" s="61">
        <v>0</v>
      </c>
      <c r="V107" s="342"/>
      <c r="W107" s="61">
        <v>0</v>
      </c>
      <c r="X107" s="342"/>
      <c r="Y107" s="211" t="e">
        <f t="shared" si="272"/>
        <v>#N/A</v>
      </c>
      <c r="Z107" s="370"/>
      <c r="AA107" s="61">
        <v>0</v>
      </c>
      <c r="AB107" s="351"/>
      <c r="AC107" s="61">
        <v>0</v>
      </c>
      <c r="AD107" s="351"/>
      <c r="AE107" s="73" t="e">
        <f t="shared" si="131"/>
        <v>#N/A</v>
      </c>
      <c r="AF107" s="356"/>
      <c r="AG107" s="73" t="e">
        <f t="shared" si="132"/>
        <v>#N/A</v>
      </c>
      <c r="AH107" s="356"/>
      <c r="AI107" s="221">
        <f t="shared" si="266"/>
        <v>29.26</v>
      </c>
      <c r="AJ107" s="78">
        <f t="shared" ref="AJ107:AP107" si="280">AJ106</f>
        <v>0.26750000000000002</v>
      </c>
      <c r="AK107" s="79">
        <f t="shared" si="280"/>
        <v>9.9166666666666661</v>
      </c>
      <c r="AL107" s="80">
        <f t="shared" si="280"/>
        <v>187</v>
      </c>
      <c r="AM107" s="78">
        <f t="shared" si="280"/>
        <v>9.737942583732058E-2</v>
      </c>
      <c r="AN107" s="80">
        <f t="shared" si="280"/>
        <v>143</v>
      </c>
      <c r="AO107" s="78">
        <f t="shared" si="280"/>
        <v>0.21099999999999999</v>
      </c>
      <c r="AP107" s="88">
        <f t="shared" si="280"/>
        <v>12</v>
      </c>
      <c r="AQ107" s="64">
        <f t="shared" si="195"/>
        <v>21.5</v>
      </c>
      <c r="AR107" s="64">
        <f t="shared" si="196"/>
        <v>11.5</v>
      </c>
      <c r="AS107" s="88">
        <f t="shared" si="197"/>
        <v>1.1830000000000001</v>
      </c>
      <c r="AT107" s="91">
        <f t="shared" si="249"/>
        <v>283</v>
      </c>
      <c r="AU107" s="94"/>
      <c r="AV107" s="95"/>
      <c r="AW107" s="56">
        <f t="shared" si="174"/>
        <v>0</v>
      </c>
      <c r="AX107" s="351"/>
      <c r="AY107" s="100">
        <f t="shared" si="201"/>
        <v>9.9166666666666661</v>
      </c>
      <c r="AZ107" s="360"/>
      <c r="BA107" s="91">
        <f t="shared" si="260"/>
        <v>-976.44588033333196</v>
      </c>
      <c r="BB107" s="5">
        <f t="shared" si="134"/>
        <v>-9.9166666666666661</v>
      </c>
      <c r="BC107" s="363"/>
      <c r="BD107" s="91" t="e">
        <f t="shared" ca="1" si="175"/>
        <v>#N/A</v>
      </c>
      <c r="BE107" s="91" t="e">
        <f t="shared" ca="1" si="176"/>
        <v>#N/A</v>
      </c>
      <c r="BF107" s="91">
        <f t="shared" si="177"/>
        <v>31.833333333333329</v>
      </c>
      <c r="BG107" s="91" t="e">
        <f t="shared" ca="1" si="178"/>
        <v>#N/A</v>
      </c>
      <c r="BH107" s="91" t="e">
        <f t="shared" ca="1" si="221"/>
        <v>#N/A</v>
      </c>
      <c r="BI107" s="10" t="e">
        <f t="shared" ca="1" si="192"/>
        <v>#N/A</v>
      </c>
      <c r="BJ107" s="104">
        <f>((M107+Q107)*AJ107+AK107)+((U107-W107+W107/('Vergleich Holz Strom'!$B$8-0.6))*AO107+AP107)</f>
        <v>21.916666666666664</v>
      </c>
      <c r="BK107" s="10" t="e">
        <f t="shared" ca="1" si="135"/>
        <v>#N/A</v>
      </c>
      <c r="BL107" s="379"/>
      <c r="BM107" s="104" t="e">
        <f t="shared" ca="1" si="188"/>
        <v>#N/A</v>
      </c>
      <c r="BN107" s="40" t="e">
        <f ca="1">IF(ISNUMBER(BK107),BN106+SUMIF(BK98:BK109,"&lt;&gt;#NV",BK98:BK109)/COUNTIF(BK98:BK109,"&lt;&gt;#NV"),#N/A)</f>
        <v>#N/A</v>
      </c>
      <c r="BO107" s="10" t="e">
        <f ca="1">BK107+AT107+AU107</f>
        <v>#N/A</v>
      </c>
      <c r="BP107" s="104" t="e">
        <f t="shared" ca="1" si="136"/>
        <v>#N/A</v>
      </c>
      <c r="BQ107" s="104">
        <f t="shared" ca="1" si="154"/>
        <v>-61090.746991444277</v>
      </c>
      <c r="BR107" s="10">
        <f t="shared" si="179"/>
        <v>9.9166666666666661</v>
      </c>
      <c r="BS107" s="311"/>
      <c r="BT107" s="307"/>
      <c r="BU107" s="295">
        <f t="shared" si="180"/>
        <v>0</v>
      </c>
      <c r="BV107" s="323"/>
      <c r="BW107" s="299">
        <f t="shared" si="181"/>
        <v>0</v>
      </c>
      <c r="BX107" s="295">
        <f t="shared" si="182"/>
        <v>0</v>
      </c>
      <c r="BY107" s="382"/>
      <c r="BZ107" s="299">
        <f t="shared" si="189"/>
        <v>0</v>
      </c>
      <c r="CA107" s="295">
        <f t="shared" si="193"/>
        <v>0</v>
      </c>
      <c r="CB107" s="323"/>
      <c r="CC107" s="314">
        <f t="shared" si="268"/>
        <v>0</v>
      </c>
      <c r="CD107" s="326"/>
      <c r="CE107" s="299">
        <f t="shared" si="183"/>
        <v>0</v>
      </c>
      <c r="CF107" s="284">
        <f t="shared" si="269"/>
        <v>0</v>
      </c>
      <c r="CG107" s="323"/>
      <c r="CH107" s="302">
        <f t="shared" si="217"/>
        <v>0</v>
      </c>
      <c r="CI107" s="108">
        <f t="shared" si="184"/>
        <v>0</v>
      </c>
      <c r="CJ107" s="200">
        <f t="shared" si="185"/>
        <v>0</v>
      </c>
      <c r="CK107" s="197">
        <f t="shared" si="199"/>
        <v>0</v>
      </c>
      <c r="CL107" s="203">
        <f t="shared" si="186"/>
        <v>12</v>
      </c>
      <c r="CM107" s="4">
        <f>U107*Jahresdaten!$AD$2</f>
        <v>0</v>
      </c>
      <c r="CN107" s="112">
        <f>CJ107*Jahresdaten!$AD$2</f>
        <v>0</v>
      </c>
      <c r="CO107" s="366"/>
      <c r="CP107" s="116">
        <f>U107*Jahresdaten!$AD$3</f>
        <v>0</v>
      </c>
      <c r="CQ107" s="12">
        <f>CJ107*Jahresdaten!$AD$3</f>
        <v>0</v>
      </c>
      <c r="CR107" s="353"/>
      <c r="CS107" s="14"/>
      <c r="CT107" s="136"/>
      <c r="CU107" s="140" t="str">
        <f>IF(CT107=0,"",CT107*'Vergleich Holz Strom'!$B$2)</f>
        <v/>
      </c>
      <c r="CV107" s="353"/>
      <c r="CW107" s="366"/>
      <c r="CX107" s="345"/>
      <c r="CY107" s="345"/>
      <c r="CZ107" s="345"/>
      <c r="DA107" s="348"/>
      <c r="DB107" s="94"/>
      <c r="DC107" s="88">
        <f t="shared" ref="DC107:DC170" si="281">DC106+AL107-(AA107*AJ107+AK107)-DB107</f>
        <v>16663.344666666686</v>
      </c>
      <c r="DD107" s="94"/>
      <c r="DE107" s="88">
        <f t="shared" si="205"/>
        <v>-12551.112547000001</v>
      </c>
      <c r="DF107" s="100" t="e">
        <f ca="1">BE107+(SUM(CS98:CS109)/12)</f>
        <v>#N/A</v>
      </c>
      <c r="DG107" s="351"/>
      <c r="DH107" s="8">
        <f t="shared" si="261"/>
        <v>0</v>
      </c>
      <c r="DI107" s="123">
        <f t="shared" si="137"/>
        <v>18250</v>
      </c>
      <c r="DJ107" s="2">
        <f t="shared" si="262"/>
        <v>0</v>
      </c>
      <c r="DK107" s="127">
        <f>DK109/12*10</f>
        <v>6500</v>
      </c>
      <c r="DL107" s="2">
        <f t="shared" si="275"/>
        <v>650</v>
      </c>
      <c r="DM107" s="130">
        <f t="shared" si="263"/>
        <v>0</v>
      </c>
      <c r="DN107" s="3">
        <f>DN109/12*10</f>
        <v>2500</v>
      </c>
      <c r="DO107" s="130">
        <f t="shared" si="276"/>
        <v>250</v>
      </c>
      <c r="DP107" s="4">
        <f t="shared" si="264"/>
        <v>0</v>
      </c>
      <c r="DQ107" s="116">
        <f t="shared" si="265"/>
        <v>9250</v>
      </c>
      <c r="DR107" s="116">
        <f t="shared" si="270"/>
        <v>150</v>
      </c>
    </row>
    <row r="108" spans="1:122" ht="14.25" customHeight="1" thickBot="1" x14ac:dyDescent="0.2">
      <c r="A108" s="416"/>
      <c r="B108" s="16">
        <v>46600</v>
      </c>
      <c r="C108" s="207">
        <f>'PV-Felder'!$I$9</f>
        <v>3065.7</v>
      </c>
      <c r="D108" s="351"/>
      <c r="E108" s="61">
        <v>0</v>
      </c>
      <c r="F108" s="351"/>
      <c r="G108" s="56" t="e">
        <f t="shared" ca="1" si="171"/>
        <v>#N/A</v>
      </c>
      <c r="H108" s="351"/>
      <c r="I108" s="61">
        <v>0</v>
      </c>
      <c r="J108" s="351"/>
      <c r="K108" s="61">
        <v>0</v>
      </c>
      <c r="L108" s="351"/>
      <c r="M108" s="65">
        <f t="shared" si="190"/>
        <v>0</v>
      </c>
      <c r="N108" s="373"/>
      <c r="O108" s="288"/>
      <c r="P108" s="288"/>
      <c r="Q108" s="286">
        <f t="shared" si="172"/>
        <v>0</v>
      </c>
      <c r="R108" s="334"/>
      <c r="S108" s="61">
        <v>0</v>
      </c>
      <c r="T108" s="376"/>
      <c r="U108" s="61">
        <v>0</v>
      </c>
      <c r="V108" s="342"/>
      <c r="W108" s="61">
        <v>0</v>
      </c>
      <c r="X108" s="342"/>
      <c r="Y108" s="211" t="e">
        <f t="shared" si="272"/>
        <v>#N/A</v>
      </c>
      <c r="Z108" s="370"/>
      <c r="AA108" s="61">
        <v>0</v>
      </c>
      <c r="AB108" s="351"/>
      <c r="AC108" s="61">
        <v>0</v>
      </c>
      <c r="AD108" s="351"/>
      <c r="AE108" s="73" t="e">
        <f t="shared" si="131"/>
        <v>#N/A</v>
      </c>
      <c r="AF108" s="356"/>
      <c r="AG108" s="73" t="e">
        <f t="shared" si="132"/>
        <v>#N/A</v>
      </c>
      <c r="AH108" s="356"/>
      <c r="AI108" s="221">
        <f t="shared" si="266"/>
        <v>29.26</v>
      </c>
      <c r="AJ108" s="78">
        <f t="shared" ref="AJ108:AP108" si="282">AJ107</f>
        <v>0.26750000000000002</v>
      </c>
      <c r="AK108" s="79">
        <f t="shared" si="282"/>
        <v>9.9166666666666661</v>
      </c>
      <c r="AL108" s="80">
        <f t="shared" si="282"/>
        <v>187</v>
      </c>
      <c r="AM108" s="78">
        <f t="shared" si="282"/>
        <v>9.737942583732058E-2</v>
      </c>
      <c r="AN108" s="80">
        <f t="shared" si="282"/>
        <v>143</v>
      </c>
      <c r="AO108" s="78">
        <f t="shared" si="282"/>
        <v>0.21099999999999999</v>
      </c>
      <c r="AP108" s="88">
        <f t="shared" si="282"/>
        <v>12</v>
      </c>
      <c r="AQ108" s="64">
        <f t="shared" si="195"/>
        <v>21.5</v>
      </c>
      <c r="AR108" s="64">
        <f t="shared" si="196"/>
        <v>11.5</v>
      </c>
      <c r="AS108" s="88">
        <f t="shared" si="197"/>
        <v>1.1830000000000001</v>
      </c>
      <c r="AT108" s="91">
        <f t="shared" si="249"/>
        <v>283</v>
      </c>
      <c r="AU108" s="94"/>
      <c r="AV108" s="95"/>
      <c r="AW108" s="56">
        <f t="shared" si="174"/>
        <v>0</v>
      </c>
      <c r="AX108" s="351"/>
      <c r="AY108" s="100">
        <f t="shared" si="201"/>
        <v>9.9166666666666661</v>
      </c>
      <c r="AZ108" s="360"/>
      <c r="BA108" s="91">
        <f t="shared" si="260"/>
        <v>-986.36254699999859</v>
      </c>
      <c r="BB108" s="5">
        <f t="shared" si="134"/>
        <v>-9.9166666666666661</v>
      </c>
      <c r="BC108" s="363"/>
      <c r="BD108" s="91" t="e">
        <f t="shared" ca="1" si="175"/>
        <v>#N/A</v>
      </c>
      <c r="BE108" s="91" t="e">
        <f t="shared" ca="1" si="176"/>
        <v>#N/A</v>
      </c>
      <c r="BF108" s="91">
        <f t="shared" si="177"/>
        <v>31.833333333333329</v>
      </c>
      <c r="BG108" s="91" t="e">
        <f t="shared" ca="1" si="178"/>
        <v>#N/A</v>
      </c>
      <c r="BH108" s="91" t="e">
        <f t="shared" ca="1" si="221"/>
        <v>#N/A</v>
      </c>
      <c r="BI108" s="10" t="e">
        <f t="shared" ca="1" si="192"/>
        <v>#N/A</v>
      </c>
      <c r="BJ108" s="104">
        <f>((M108+Q108)*AJ108+AK108)+((U108-W108+W108/('Vergleich Holz Strom'!$B$8-0.6))*AO108+AP108)</f>
        <v>21.916666666666664</v>
      </c>
      <c r="BK108" s="10" t="e">
        <f t="shared" ca="1" si="135"/>
        <v>#N/A</v>
      </c>
      <c r="BL108" s="379"/>
      <c r="BM108" s="104" t="e">
        <f t="shared" ca="1" si="188"/>
        <v>#N/A</v>
      </c>
      <c r="BN108" s="40" t="e">
        <f ca="1">IF(ISNUMBER(BK108),BN107+SUMIF(BK98:BK109,"&lt;&gt;#NV",BK98:BK109)/COUNTIF(BK98:BK109,"&lt;&gt;#NV"),#N/A)</f>
        <v>#N/A</v>
      </c>
      <c r="BO108" s="10" t="e">
        <f t="shared" ref="BO108:BO118" ca="1" si="283">BK108+AT108+AU108</f>
        <v>#N/A</v>
      </c>
      <c r="BP108" s="104" t="e">
        <f t="shared" ca="1" si="136"/>
        <v>#N/A</v>
      </c>
      <c r="BQ108" s="104">
        <f t="shared" ca="1" si="154"/>
        <v>-61074.435880333171</v>
      </c>
      <c r="BR108" s="10">
        <f t="shared" si="179"/>
        <v>9.9166666666666661</v>
      </c>
      <c r="BS108" s="311"/>
      <c r="BT108" s="307"/>
      <c r="BU108" s="295">
        <f t="shared" si="180"/>
        <v>0</v>
      </c>
      <c r="BV108" s="323"/>
      <c r="BW108" s="299">
        <f t="shared" si="181"/>
        <v>0</v>
      </c>
      <c r="BX108" s="295">
        <f t="shared" si="182"/>
        <v>0</v>
      </c>
      <c r="BY108" s="382"/>
      <c r="BZ108" s="299">
        <f t="shared" si="189"/>
        <v>0</v>
      </c>
      <c r="CA108" s="295">
        <f t="shared" si="193"/>
        <v>0</v>
      </c>
      <c r="CB108" s="323"/>
      <c r="CC108" s="314">
        <f t="shared" si="268"/>
        <v>0</v>
      </c>
      <c r="CD108" s="326"/>
      <c r="CE108" s="299">
        <f t="shared" si="183"/>
        <v>0</v>
      </c>
      <c r="CF108" s="284">
        <f t="shared" si="269"/>
        <v>0</v>
      </c>
      <c r="CG108" s="323"/>
      <c r="CH108" s="302">
        <f t="shared" si="217"/>
        <v>0</v>
      </c>
      <c r="CI108" s="108">
        <f t="shared" si="184"/>
        <v>0</v>
      </c>
      <c r="CJ108" s="200">
        <f t="shared" si="185"/>
        <v>0</v>
      </c>
      <c r="CK108" s="197">
        <f t="shared" si="199"/>
        <v>0</v>
      </c>
      <c r="CL108" s="203">
        <f t="shared" si="186"/>
        <v>12</v>
      </c>
      <c r="CM108" s="4">
        <f>U108*Jahresdaten!$AD$2</f>
        <v>0</v>
      </c>
      <c r="CN108" s="112">
        <f>CJ108*Jahresdaten!$AD$2</f>
        <v>0</v>
      </c>
      <c r="CO108" s="366"/>
      <c r="CP108" s="116">
        <f>U108*Jahresdaten!$AD$3</f>
        <v>0</v>
      </c>
      <c r="CQ108" s="12">
        <f>CJ108*Jahresdaten!$AD$3</f>
        <v>0</v>
      </c>
      <c r="CR108" s="353"/>
      <c r="CS108" s="14"/>
      <c r="CT108" s="136"/>
      <c r="CU108" s="140" t="str">
        <f>IF(CT108=0,"",CT108*'Vergleich Holz Strom'!$B$2)</f>
        <v/>
      </c>
      <c r="CV108" s="353"/>
      <c r="CW108" s="366"/>
      <c r="CX108" s="345"/>
      <c r="CY108" s="345"/>
      <c r="CZ108" s="345"/>
      <c r="DA108" s="348"/>
      <c r="DB108" s="94"/>
      <c r="DC108" s="88">
        <f t="shared" si="281"/>
        <v>16840.428000000018</v>
      </c>
      <c r="DD108" s="94"/>
      <c r="DE108" s="88">
        <f t="shared" ref="DE108:DE171" si="284">DE107+(AC108*AM108-AN108)-DD108</f>
        <v>-12694.112547000001</v>
      </c>
      <c r="DF108" s="100" t="e">
        <f ca="1">BE108+(SUM(CS98:CS109)/12)</f>
        <v>#N/A</v>
      </c>
      <c r="DG108" s="351"/>
      <c r="DH108" s="8">
        <f t="shared" si="261"/>
        <v>0</v>
      </c>
      <c r="DI108" s="123">
        <f t="shared" si="137"/>
        <v>19300</v>
      </c>
      <c r="DJ108" s="2">
        <f t="shared" si="262"/>
        <v>0</v>
      </c>
      <c r="DK108" s="127">
        <f>DK109/12*11</f>
        <v>7150</v>
      </c>
      <c r="DL108" s="2">
        <f t="shared" si="275"/>
        <v>650</v>
      </c>
      <c r="DM108" s="130">
        <f t="shared" si="263"/>
        <v>0</v>
      </c>
      <c r="DN108" s="3">
        <f>DN109/12*11</f>
        <v>2750</v>
      </c>
      <c r="DO108" s="130">
        <f t="shared" si="276"/>
        <v>250</v>
      </c>
      <c r="DP108" s="4">
        <f t="shared" si="264"/>
        <v>0</v>
      </c>
      <c r="DQ108" s="116">
        <f t="shared" si="265"/>
        <v>9400</v>
      </c>
      <c r="DR108" s="116">
        <f t="shared" si="270"/>
        <v>150</v>
      </c>
    </row>
    <row r="109" spans="1:122" s="28" customFormat="1" ht="15" customHeight="1" thickBot="1" x14ac:dyDescent="0.2">
      <c r="A109" s="417"/>
      <c r="B109" s="18">
        <v>46631</v>
      </c>
      <c r="C109" s="208">
        <f>'PV-Felder'!$I$10</f>
        <v>2246.7000000000003</v>
      </c>
      <c r="D109" s="352"/>
      <c r="E109" s="63">
        <v>0</v>
      </c>
      <c r="F109" s="352"/>
      <c r="G109" s="57" t="e">
        <f t="shared" ca="1" si="171"/>
        <v>#N/A</v>
      </c>
      <c r="H109" s="352"/>
      <c r="I109" s="63">
        <v>0</v>
      </c>
      <c r="J109" s="352"/>
      <c r="K109" s="63">
        <v>0</v>
      </c>
      <c r="L109" s="352"/>
      <c r="M109" s="67">
        <f t="shared" si="190"/>
        <v>0</v>
      </c>
      <c r="N109" s="374"/>
      <c r="O109" s="290"/>
      <c r="P109" s="290"/>
      <c r="Q109" s="289">
        <f t="shared" si="172"/>
        <v>0</v>
      </c>
      <c r="R109" s="334"/>
      <c r="S109" s="63">
        <v>0</v>
      </c>
      <c r="T109" s="377"/>
      <c r="U109" s="63">
        <v>0</v>
      </c>
      <c r="V109" s="343"/>
      <c r="W109" s="63">
        <v>0</v>
      </c>
      <c r="X109" s="343"/>
      <c r="Y109" s="213" t="e">
        <f t="shared" si="272"/>
        <v>#N/A</v>
      </c>
      <c r="Z109" s="371"/>
      <c r="AA109" s="63">
        <v>0</v>
      </c>
      <c r="AB109" s="352"/>
      <c r="AC109" s="63">
        <v>0</v>
      </c>
      <c r="AD109" s="352"/>
      <c r="AE109" s="75" t="e">
        <f t="shared" si="131"/>
        <v>#N/A</v>
      </c>
      <c r="AF109" s="357"/>
      <c r="AG109" s="75" t="e">
        <f t="shared" si="132"/>
        <v>#N/A</v>
      </c>
      <c r="AH109" s="357"/>
      <c r="AI109" s="223">
        <f>AI108</f>
        <v>29.26</v>
      </c>
      <c r="AJ109" s="83">
        <f t="shared" ref="AJ109:AP109" si="285">AJ108</f>
        <v>0.26750000000000002</v>
      </c>
      <c r="AK109" s="21">
        <f t="shared" si="285"/>
        <v>9.9166666666666661</v>
      </c>
      <c r="AL109" s="84">
        <f t="shared" si="285"/>
        <v>187</v>
      </c>
      <c r="AM109" s="83">
        <f t="shared" si="285"/>
        <v>9.737942583732058E-2</v>
      </c>
      <c r="AN109" s="84">
        <f t="shared" si="285"/>
        <v>143</v>
      </c>
      <c r="AO109" s="83">
        <f t="shared" si="285"/>
        <v>0.21099999999999999</v>
      </c>
      <c r="AP109" s="90">
        <f t="shared" si="285"/>
        <v>12</v>
      </c>
      <c r="AQ109" s="125">
        <f t="shared" si="195"/>
        <v>21.5</v>
      </c>
      <c r="AR109" s="125">
        <f t="shared" si="196"/>
        <v>11.5</v>
      </c>
      <c r="AS109" s="92">
        <f t="shared" si="197"/>
        <v>1.1830000000000001</v>
      </c>
      <c r="AT109" s="92">
        <f t="shared" si="249"/>
        <v>283</v>
      </c>
      <c r="AU109" s="98"/>
      <c r="AV109" s="99"/>
      <c r="AW109" s="57">
        <f t="shared" si="174"/>
        <v>0</v>
      </c>
      <c r="AX109" s="352"/>
      <c r="AY109" s="102">
        <f t="shared" si="201"/>
        <v>9.9166666666666661</v>
      </c>
      <c r="AZ109" s="361"/>
      <c r="BA109" s="92">
        <f t="shared" si="260"/>
        <v>-996.27921366666521</v>
      </c>
      <c r="BB109" s="22">
        <f t="shared" si="134"/>
        <v>-9.9166666666666661</v>
      </c>
      <c r="BC109" s="364"/>
      <c r="BD109" s="92" t="e">
        <f t="shared" ca="1" si="175"/>
        <v>#N/A</v>
      </c>
      <c r="BE109" s="92" t="e">
        <f t="shared" ca="1" si="176"/>
        <v>#N/A</v>
      </c>
      <c r="BF109" s="92">
        <f t="shared" si="177"/>
        <v>31.833333333333329</v>
      </c>
      <c r="BG109" s="92" t="e">
        <f t="shared" ca="1" si="178"/>
        <v>#N/A</v>
      </c>
      <c r="BH109" s="92" t="e">
        <f t="shared" ca="1" si="221"/>
        <v>#N/A</v>
      </c>
      <c r="BI109" s="24" t="e">
        <f t="shared" ca="1" si="192"/>
        <v>#N/A</v>
      </c>
      <c r="BJ109" s="106">
        <f>((M109+Q109)*AJ109+AK109)+((U109-W109+W109/('Vergleich Holz Strom'!$B$8-0.6))*AO109+AP109)</f>
        <v>21.916666666666664</v>
      </c>
      <c r="BK109" s="24" t="e">
        <f t="shared" ca="1" si="135"/>
        <v>#N/A</v>
      </c>
      <c r="BL109" s="380"/>
      <c r="BM109" s="106" t="e">
        <f t="shared" ca="1" si="188"/>
        <v>#N/A</v>
      </c>
      <c r="BN109" s="226" t="e">
        <f ca="1">IF(ISNUMBER(BK109),BN108+SUMIF(BK98:BK109,"&lt;&gt;#NV",BK98:BK109)/COUNTIF(BK98:BK109,"&lt;&gt;#NV"),#N/A)</f>
        <v>#N/A</v>
      </c>
      <c r="BO109" s="318" t="e">
        <f t="shared" ca="1" si="283"/>
        <v>#N/A</v>
      </c>
      <c r="BP109" s="106" t="e">
        <f t="shared" ca="1" si="136"/>
        <v>#N/A</v>
      </c>
      <c r="BQ109" s="106">
        <f t="shared" ca="1" si="154"/>
        <v>-61058.124769222064</v>
      </c>
      <c r="BR109" s="24">
        <f t="shared" si="179"/>
        <v>9.9166666666666661</v>
      </c>
      <c r="BS109" s="312"/>
      <c r="BT109" s="308"/>
      <c r="BU109" s="296">
        <f t="shared" si="180"/>
        <v>0</v>
      </c>
      <c r="BV109" s="324"/>
      <c r="BW109" s="292">
        <f t="shared" si="181"/>
        <v>0</v>
      </c>
      <c r="BX109" s="295">
        <f t="shared" si="182"/>
        <v>0</v>
      </c>
      <c r="BY109" s="382"/>
      <c r="BZ109" s="299">
        <f t="shared" si="189"/>
        <v>0</v>
      </c>
      <c r="CA109" s="296">
        <f t="shared" si="193"/>
        <v>0</v>
      </c>
      <c r="CB109" s="324"/>
      <c r="CC109" s="315">
        <f t="shared" si="268"/>
        <v>0</v>
      </c>
      <c r="CD109" s="327"/>
      <c r="CE109" s="292">
        <f t="shared" si="183"/>
        <v>0</v>
      </c>
      <c r="CF109" s="296">
        <f t="shared" si="269"/>
        <v>0</v>
      </c>
      <c r="CG109" s="324"/>
      <c r="CH109" s="303">
        <f t="shared" si="217"/>
        <v>0</v>
      </c>
      <c r="CI109" s="110">
        <f t="shared" si="184"/>
        <v>0</v>
      </c>
      <c r="CJ109" s="200">
        <f t="shared" si="185"/>
        <v>0</v>
      </c>
      <c r="CK109" s="25">
        <f t="shared" si="199"/>
        <v>0</v>
      </c>
      <c r="CL109" s="204">
        <f t="shared" si="186"/>
        <v>12</v>
      </c>
      <c r="CM109" s="26">
        <f>U109*Jahresdaten!$AD$2</f>
        <v>0</v>
      </c>
      <c r="CN109" s="114">
        <f>CJ109*Jahresdaten!$AD$2</f>
        <v>0</v>
      </c>
      <c r="CO109" s="346"/>
      <c r="CP109" s="118">
        <f>U109*Jahresdaten!$AD$3</f>
        <v>0</v>
      </c>
      <c r="CQ109" s="25">
        <f>CJ109*Jahresdaten!$AD$3</f>
        <v>0</v>
      </c>
      <c r="CR109" s="354"/>
      <c r="CS109" s="23"/>
      <c r="CT109" s="138"/>
      <c r="CU109" s="141" t="str">
        <f>IF(CT109=0,"",CT109*'Vergleich Holz Strom'!$B$2)</f>
        <v/>
      </c>
      <c r="CV109" s="354"/>
      <c r="CW109" s="346"/>
      <c r="CX109" s="346"/>
      <c r="CY109" s="346"/>
      <c r="CZ109" s="346"/>
      <c r="DA109" s="349"/>
      <c r="DB109" s="98"/>
      <c r="DC109" s="90">
        <f t="shared" si="281"/>
        <v>17017.51133333335</v>
      </c>
      <c r="DD109" s="98"/>
      <c r="DE109" s="90">
        <f t="shared" si="284"/>
        <v>-12837.112547000001</v>
      </c>
      <c r="DF109" s="102" t="e">
        <f ca="1">BE109+(SUM(CS98:CS109)/12)</f>
        <v>#N/A</v>
      </c>
      <c r="DG109" s="352"/>
      <c r="DH109" s="19">
        <f t="shared" si="261"/>
        <v>0</v>
      </c>
      <c r="DI109" s="125">
        <f t="shared" si="137"/>
        <v>20800</v>
      </c>
      <c r="DJ109" s="20">
        <f t="shared" si="262"/>
        <v>0</v>
      </c>
      <c r="DK109" s="129">
        <f>DK97</f>
        <v>7800</v>
      </c>
      <c r="DL109" s="20">
        <f t="shared" si="275"/>
        <v>650</v>
      </c>
      <c r="DM109" s="132">
        <f t="shared" si="263"/>
        <v>0</v>
      </c>
      <c r="DN109" s="27">
        <f>DN97</f>
        <v>3000</v>
      </c>
      <c r="DO109" s="132">
        <f t="shared" si="276"/>
        <v>250</v>
      </c>
      <c r="DP109" s="26">
        <f t="shared" si="264"/>
        <v>0</v>
      </c>
      <c r="DQ109" s="118">
        <f>DQ97</f>
        <v>10000</v>
      </c>
      <c r="DR109" s="118">
        <f>DR97</f>
        <v>600</v>
      </c>
    </row>
    <row r="110" spans="1:122" ht="15" customHeight="1" thickBot="1" x14ac:dyDescent="0.2">
      <c r="A110" s="415" t="s">
        <v>167</v>
      </c>
      <c r="B110" s="16">
        <v>46661</v>
      </c>
      <c r="C110" s="207">
        <f>'PV-Felder'!$I$11</f>
        <v>1416.7</v>
      </c>
      <c r="D110" s="358">
        <f t="shared" ref="D110" si="286">SUMIF(E110:E121,"&gt;0",C110:C121)</f>
        <v>0</v>
      </c>
      <c r="E110" s="61">
        <v>0</v>
      </c>
      <c r="F110" s="368">
        <f>SUM(E110:E121)</f>
        <v>0</v>
      </c>
      <c r="G110" s="58" t="e">
        <f t="shared" ca="1" si="171"/>
        <v>#N/A</v>
      </c>
      <c r="H110" s="358" t="e">
        <f ca="1">IF(TODAY()&lt;B110,#N/A,F110-D110)</f>
        <v>#N/A</v>
      </c>
      <c r="I110" s="61">
        <v>0</v>
      </c>
      <c r="J110" s="368">
        <f>SUM(I110:I121)</f>
        <v>0</v>
      </c>
      <c r="K110" s="61">
        <v>0</v>
      </c>
      <c r="L110" s="368">
        <f>SUM(K110:K121)</f>
        <v>0</v>
      </c>
      <c r="M110" s="66">
        <f t="shared" si="190"/>
        <v>0</v>
      </c>
      <c r="N110" s="372">
        <f>SUM(M110:M121)</f>
        <v>0</v>
      </c>
      <c r="Q110" s="287">
        <f t="shared" si="172"/>
        <v>0</v>
      </c>
      <c r="R110" s="333">
        <f>SUM(Q110:Q121)</f>
        <v>0</v>
      </c>
      <c r="S110" s="61">
        <v>0</v>
      </c>
      <c r="T110" s="375">
        <f>SUM(S110:S121)</f>
        <v>0</v>
      </c>
      <c r="U110" s="61">
        <v>0</v>
      </c>
      <c r="V110" s="341">
        <f>SUM(U110:U121)</f>
        <v>0</v>
      </c>
      <c r="W110" s="61">
        <v>0</v>
      </c>
      <c r="X110" s="341">
        <f>SUM(W110:W121)</f>
        <v>0</v>
      </c>
      <c r="Y110" s="211" t="e">
        <f t="shared" si="272"/>
        <v>#N/A</v>
      </c>
      <c r="Z110" s="369">
        <f>N110+T110+V110</f>
        <v>0</v>
      </c>
      <c r="AA110" s="62">
        <v>0</v>
      </c>
      <c r="AB110" s="368">
        <f>SUM(AA110:AA121)</f>
        <v>0</v>
      </c>
      <c r="AC110" s="62">
        <v>0</v>
      </c>
      <c r="AD110" s="368">
        <f>SUM(AC110:AC121)</f>
        <v>0</v>
      </c>
      <c r="AE110" s="74" t="e">
        <f t="shared" si="131"/>
        <v>#N/A</v>
      </c>
      <c r="AF110" s="355" t="e">
        <f>IF(SUMIF(AE110:AE121,"&gt;0")&gt;0,SUMIF(AE110:AE121,"&gt;0")/COUNTIF(AE110:AE121,"&gt;0"),#N/A)</f>
        <v>#N/A</v>
      </c>
      <c r="AG110" s="73" t="e">
        <f t="shared" si="132"/>
        <v>#N/A</v>
      </c>
      <c r="AH110" s="355" t="e">
        <f>IF(SUMIF(AG110:AG121,"&gt;0")&gt;0,SUMIF(AG110:AG121,"&gt;0")/COUNTIF(AG110:AG121,"&gt;0"),#N/A)</f>
        <v>#N/A</v>
      </c>
      <c r="AI110" s="222">
        <f>AI109</f>
        <v>29.26</v>
      </c>
      <c r="AJ110" s="78">
        <f t="shared" ref="AJ110:AP110" si="287">AJ109</f>
        <v>0.26750000000000002</v>
      </c>
      <c r="AK110" s="79">
        <f t="shared" si="287"/>
        <v>9.9166666666666661</v>
      </c>
      <c r="AL110" s="80">
        <f t="shared" si="287"/>
        <v>187</v>
      </c>
      <c r="AM110" s="78">
        <f t="shared" si="287"/>
        <v>9.737942583732058E-2</v>
      </c>
      <c r="AN110" s="80">
        <f t="shared" si="287"/>
        <v>143</v>
      </c>
      <c r="AO110" s="78">
        <f t="shared" si="287"/>
        <v>0.21099999999999999</v>
      </c>
      <c r="AP110" s="88">
        <f t="shared" si="287"/>
        <v>12</v>
      </c>
      <c r="AQ110" s="64">
        <f t="shared" si="195"/>
        <v>21.5</v>
      </c>
      <c r="AR110" s="64">
        <f t="shared" si="196"/>
        <v>11.5</v>
      </c>
      <c r="AS110" s="88">
        <f t="shared" si="197"/>
        <v>1.1830000000000001</v>
      </c>
      <c r="AT110" s="91">
        <f t="shared" si="249"/>
        <v>283</v>
      </c>
      <c r="AU110" s="94"/>
      <c r="AV110" s="95"/>
      <c r="AW110" s="56">
        <f t="shared" si="174"/>
        <v>0</v>
      </c>
      <c r="AX110" s="358">
        <f>SUM(AW110:AW121)</f>
        <v>0</v>
      </c>
      <c r="AY110" s="100">
        <f t="shared" si="201"/>
        <v>9.9166666666666661</v>
      </c>
      <c r="AZ110" s="359">
        <f>SUM(AY110:AY121)</f>
        <v>119.00000000000001</v>
      </c>
      <c r="BA110" s="103">
        <f>BA109-AY110</f>
        <v>-1006.1958803333318</v>
      </c>
      <c r="BB110" s="5">
        <f t="shared" si="134"/>
        <v>-9.9166666666666661</v>
      </c>
      <c r="BC110" s="362">
        <f>SUM(AY110:AY121)/12</f>
        <v>9.9166666666666679</v>
      </c>
      <c r="BD110" s="91" t="e">
        <f t="shared" ca="1" si="175"/>
        <v>#N/A</v>
      </c>
      <c r="BE110" s="91" t="e">
        <f t="shared" ca="1" si="176"/>
        <v>#N/A</v>
      </c>
      <c r="BF110" s="91">
        <f t="shared" si="177"/>
        <v>31.833333333333329</v>
      </c>
      <c r="BG110" s="91" t="e">
        <f t="shared" ca="1" si="178"/>
        <v>#N/A</v>
      </c>
      <c r="BH110" s="91" t="e">
        <f t="shared" ca="1" si="221"/>
        <v>#N/A</v>
      </c>
      <c r="BI110" s="10" t="e">
        <f t="shared" ca="1" si="192"/>
        <v>#N/A</v>
      </c>
      <c r="BJ110" s="104">
        <f>((M110+Q110)*AJ110+AK110)+((U110-W110+W110/('Vergleich Holz Strom'!$B$8-0.6))*AO110+AP110)</f>
        <v>21.916666666666664</v>
      </c>
      <c r="BK110" s="10" t="e">
        <f t="shared" ca="1" si="135"/>
        <v>#N/A</v>
      </c>
      <c r="BL110" s="378">
        <f ca="1">SUMIF(BK110:BK121,"&lt;&gt;#NV",BK110:BK121)</f>
        <v>0</v>
      </c>
      <c r="BM110" s="104" t="e">
        <f t="shared" ca="1" si="188"/>
        <v>#N/A</v>
      </c>
      <c r="BN110" s="40" t="e">
        <f ca="1">IF(ISNUMBER(BK110),BN109+SUMIF(BK110:BK121,"&lt;&gt;#NV",BK110:BK121)/COUNTIF(BK110:BK121,"&lt;&gt;#NV"),#N/A)</f>
        <v>#N/A</v>
      </c>
      <c r="BO110" s="10" t="e">
        <f t="shared" ca="1" si="283"/>
        <v>#N/A</v>
      </c>
      <c r="BP110" s="105" t="e">
        <f t="shared" ca="1" si="136"/>
        <v>#N/A</v>
      </c>
      <c r="BQ110" s="104">
        <f t="shared" ca="1" si="154"/>
        <v>-61046.124769222064</v>
      </c>
      <c r="BR110" s="10">
        <f t="shared" si="179"/>
        <v>9.9166666666666661</v>
      </c>
      <c r="BS110" s="311"/>
      <c r="BT110" s="307"/>
      <c r="BU110" s="295">
        <f t="shared" si="180"/>
        <v>0</v>
      </c>
      <c r="BV110" s="322">
        <f>SUM(BU110:BU121)</f>
        <v>0</v>
      </c>
      <c r="BW110" s="300">
        <f t="shared" si="181"/>
        <v>0</v>
      </c>
      <c r="BX110" s="305">
        <f t="shared" si="182"/>
        <v>0</v>
      </c>
      <c r="BY110" s="381">
        <f>SUM(BX110:BX121)</f>
        <v>0</v>
      </c>
      <c r="BZ110" s="300">
        <f t="shared" si="189"/>
        <v>0</v>
      </c>
      <c r="CA110" s="295">
        <f t="shared" si="193"/>
        <v>0</v>
      </c>
      <c r="CB110" s="322">
        <f>SUM(CA110:CA121)</f>
        <v>0</v>
      </c>
      <c r="CC110" s="314">
        <f t="shared" si="268"/>
        <v>0</v>
      </c>
      <c r="CD110" s="325">
        <f>SUM(CC110:CC121)</f>
        <v>0</v>
      </c>
      <c r="CE110" s="299">
        <f t="shared" si="183"/>
        <v>0</v>
      </c>
      <c r="CF110" s="284">
        <f t="shared" si="269"/>
        <v>0</v>
      </c>
      <c r="CG110" s="328">
        <f>SUM(CF110:CF121)</f>
        <v>0</v>
      </c>
      <c r="CH110" s="302">
        <f t="shared" si="217"/>
        <v>0</v>
      </c>
      <c r="CI110" s="108">
        <f t="shared" si="184"/>
        <v>0</v>
      </c>
      <c r="CJ110" s="201">
        <f t="shared" si="185"/>
        <v>0</v>
      </c>
      <c r="CK110" s="197">
        <f t="shared" si="199"/>
        <v>0</v>
      </c>
      <c r="CL110" s="203">
        <f t="shared" si="186"/>
        <v>12</v>
      </c>
      <c r="CM110" s="4">
        <f>U110*Jahresdaten!$AD$2</f>
        <v>0</v>
      </c>
      <c r="CN110" s="112">
        <f>CJ110*Jahresdaten!$AD$2</f>
        <v>0</v>
      </c>
      <c r="CO110" s="365">
        <f>CW110*Jahresdaten!$AD$2</f>
        <v>856.59076092206669</v>
      </c>
      <c r="CP110" s="116">
        <f>U110*Jahresdaten!$AD$3</f>
        <v>0</v>
      </c>
      <c r="CQ110" s="12">
        <f>CJ110*Jahresdaten!$AD$3</f>
        <v>0</v>
      </c>
      <c r="CR110" s="367">
        <f>CW110*Jahresdaten!$AD$3</f>
        <v>312.40923907793319</v>
      </c>
      <c r="CS110" s="14">
        <f>CS98</f>
        <v>1169</v>
      </c>
      <c r="CT110" s="136">
        <f>CT98</f>
        <v>12</v>
      </c>
      <c r="CU110" s="140">
        <f>IF(CT110=0,"",CT110*'Vergleich Holz Strom'!$B$2)</f>
        <v>25800</v>
      </c>
      <c r="CV110" s="120" t="s">
        <v>7</v>
      </c>
      <c r="CW110" s="365">
        <f>CV111+CV117</f>
        <v>1169</v>
      </c>
      <c r="CX110" s="344">
        <f>SUM(CS110:CS121)/SUM(CU110:CU121)*(SUM(CU110:CU121)+(V110*('Vergleich Holz Strom'!$B$8-0.6)/'Vergleich Holz Strom'!$E$6))</f>
        <v>1169</v>
      </c>
      <c r="CY110" s="344">
        <f>SUM(CU110:CU121)*'Vergleich Holz Strom'!$E$6/('Vergleich Holz Strom'!$B$8-0.6)*(SUM(AJ110:AJ121)/12)+CV111</f>
        <v>1420.8970588235295</v>
      </c>
      <c r="CZ110" s="344">
        <f>SUM(CU110:CU121)*'Vergleich Holz Strom'!$E$6/('Vergleich Holz Strom'!$B$8-0.6)*SUM(AM110:AM121)/12+SUM(CK110:CK121)</f>
        <v>517.25659724176774</v>
      </c>
      <c r="DA110" s="347">
        <f>SUM(CU110:CU121)*'Vergleich Holz Strom'!$E$6/('Vergleich Holz Strom'!$B$8-0.6)*(SUM(AO110:AO121)/12)+SUM(CL110:CL121)</f>
        <v>1264.7823529411764</v>
      </c>
      <c r="DB110" s="94"/>
      <c r="DC110" s="88">
        <f t="shared" si="281"/>
        <v>17194.594666666682</v>
      </c>
      <c r="DD110" s="94"/>
      <c r="DE110" s="88">
        <f t="shared" si="284"/>
        <v>-12980.112547000001</v>
      </c>
      <c r="DF110" s="100" t="e">
        <f ca="1">BE110+(SUM(CS110:CS121)/12)</f>
        <v>#N/A</v>
      </c>
      <c r="DG110" s="350">
        <f ca="1">SUMIF(DF110:DF121,"&gt;0")</f>
        <v>0</v>
      </c>
      <c r="DH110" s="8">
        <f>M110+S110+U110</f>
        <v>0</v>
      </c>
      <c r="DI110" s="123">
        <f t="shared" si="137"/>
        <v>1850</v>
      </c>
      <c r="DJ110" s="2">
        <f>M110</f>
        <v>0</v>
      </c>
      <c r="DK110" s="127">
        <f>DK121/12*1</f>
        <v>650</v>
      </c>
      <c r="DL110" s="2">
        <f>DL109</f>
        <v>650</v>
      </c>
      <c r="DM110" s="130">
        <f>S110</f>
        <v>0</v>
      </c>
      <c r="DN110" s="3">
        <f>DN121/12*1</f>
        <v>250</v>
      </c>
      <c r="DO110" s="130">
        <f>DO109</f>
        <v>250</v>
      </c>
      <c r="DP110" s="4">
        <f>U110</f>
        <v>0</v>
      </c>
      <c r="DQ110" s="116">
        <f>DR110</f>
        <v>950</v>
      </c>
      <c r="DR110" s="116">
        <f>DR98</f>
        <v>950</v>
      </c>
    </row>
    <row r="111" spans="1:122" ht="14.25" customHeight="1" thickBot="1" x14ac:dyDescent="0.2">
      <c r="A111" s="416"/>
      <c r="B111" s="16">
        <v>46692</v>
      </c>
      <c r="C111" s="207">
        <f>'PV-Felder'!$I$12</f>
        <v>739.6</v>
      </c>
      <c r="D111" s="351"/>
      <c r="E111" s="61">
        <v>0</v>
      </c>
      <c r="F111" s="351"/>
      <c r="G111" s="56" t="e">
        <f t="shared" ca="1" si="171"/>
        <v>#N/A</v>
      </c>
      <c r="H111" s="351"/>
      <c r="I111" s="61">
        <v>0</v>
      </c>
      <c r="J111" s="351"/>
      <c r="K111" s="61">
        <v>0</v>
      </c>
      <c r="L111" s="351"/>
      <c r="M111" s="65">
        <f t="shared" si="190"/>
        <v>0</v>
      </c>
      <c r="N111" s="373"/>
      <c r="O111" s="288"/>
      <c r="P111" s="288"/>
      <c r="Q111" s="286">
        <f t="shared" si="172"/>
        <v>0</v>
      </c>
      <c r="R111" s="334"/>
      <c r="S111" s="61">
        <v>0</v>
      </c>
      <c r="T111" s="376"/>
      <c r="U111" s="61">
        <v>0</v>
      </c>
      <c r="V111" s="342"/>
      <c r="W111" s="61">
        <v>0</v>
      </c>
      <c r="X111" s="342"/>
      <c r="Y111" s="211" t="e">
        <f t="shared" si="272"/>
        <v>#N/A</v>
      </c>
      <c r="Z111" s="370"/>
      <c r="AA111" s="61">
        <v>0</v>
      </c>
      <c r="AB111" s="351"/>
      <c r="AC111" s="61">
        <v>0</v>
      </c>
      <c r="AD111" s="351"/>
      <c r="AE111" s="73" t="e">
        <f t="shared" si="131"/>
        <v>#N/A</v>
      </c>
      <c r="AF111" s="356"/>
      <c r="AG111" s="73" t="e">
        <f t="shared" si="132"/>
        <v>#N/A</v>
      </c>
      <c r="AH111" s="356"/>
      <c r="AI111" s="221">
        <f>AI110</f>
        <v>29.26</v>
      </c>
      <c r="AJ111" s="78">
        <f t="shared" ref="AJ111:AN111" si="288">AJ110</f>
        <v>0.26750000000000002</v>
      </c>
      <c r="AK111" s="79">
        <f t="shared" si="288"/>
        <v>9.9166666666666661</v>
      </c>
      <c r="AL111" s="80">
        <f t="shared" si="288"/>
        <v>187</v>
      </c>
      <c r="AM111" s="78">
        <f t="shared" si="288"/>
        <v>9.737942583732058E-2</v>
      </c>
      <c r="AN111" s="80">
        <f t="shared" si="288"/>
        <v>143</v>
      </c>
      <c r="AO111" s="78">
        <f>AO110</f>
        <v>0.21099999999999999</v>
      </c>
      <c r="AP111" s="88">
        <f>AP110</f>
        <v>12</v>
      </c>
      <c r="AQ111" s="64">
        <f t="shared" si="195"/>
        <v>21.5</v>
      </c>
      <c r="AR111" s="64">
        <f t="shared" si="196"/>
        <v>11.5</v>
      </c>
      <c r="AS111" s="88">
        <f t="shared" si="197"/>
        <v>1.1830000000000001</v>
      </c>
      <c r="AT111" s="91">
        <f t="shared" si="249"/>
        <v>283</v>
      </c>
      <c r="AU111" s="94"/>
      <c r="AV111" s="95"/>
      <c r="AW111" s="56">
        <f t="shared" si="174"/>
        <v>0</v>
      </c>
      <c r="AX111" s="351"/>
      <c r="AY111" s="100">
        <f t="shared" si="201"/>
        <v>9.9166666666666661</v>
      </c>
      <c r="AZ111" s="360"/>
      <c r="BA111" s="91">
        <f t="shared" ref="BA111:BA121" si="289">BA110-AY111</f>
        <v>-1016.1125469999985</v>
      </c>
      <c r="BB111" s="5">
        <f t="shared" si="134"/>
        <v>-9.9166666666666661</v>
      </c>
      <c r="BC111" s="363"/>
      <c r="BD111" s="91" t="e">
        <f t="shared" ca="1" si="175"/>
        <v>#N/A</v>
      </c>
      <c r="BE111" s="91" t="e">
        <f t="shared" ca="1" si="176"/>
        <v>#N/A</v>
      </c>
      <c r="BF111" s="91">
        <f t="shared" si="177"/>
        <v>31.833333333333329</v>
      </c>
      <c r="BG111" s="91" t="e">
        <f t="shared" ca="1" si="178"/>
        <v>#N/A</v>
      </c>
      <c r="BH111" s="91" t="e">
        <f t="shared" ca="1" si="221"/>
        <v>#N/A</v>
      </c>
      <c r="BI111" s="10" t="e">
        <f t="shared" ca="1" si="192"/>
        <v>#N/A</v>
      </c>
      <c r="BJ111" s="104">
        <f>((M111+Q111)*AJ111+AK111)+((U111-W111+W111/('Vergleich Holz Strom'!$B$8-0.6))*AO111+AP111)</f>
        <v>21.916666666666664</v>
      </c>
      <c r="BK111" s="10" t="e">
        <f t="shared" ca="1" si="135"/>
        <v>#N/A</v>
      </c>
      <c r="BL111" s="379"/>
      <c r="BM111" s="104" t="e">
        <f t="shared" ca="1" si="188"/>
        <v>#N/A</v>
      </c>
      <c r="BN111" s="40" t="e">
        <f ca="1">IF(ISNUMBER(BK111),BN110+SUMIF(BK110:BK121,"&lt;&gt;#NV",BK110:BK121)/COUNTIF(BK110:BK121,"&lt;&gt;#NV"),#N/A)</f>
        <v>#N/A</v>
      </c>
      <c r="BO111" s="10" t="e">
        <f t="shared" ca="1" si="283"/>
        <v>#N/A</v>
      </c>
      <c r="BP111" s="104" t="e">
        <f t="shared" ca="1" si="136"/>
        <v>#N/A</v>
      </c>
      <c r="BQ111" s="104">
        <f t="shared" ca="1" si="154"/>
        <v>-61034.124769222064</v>
      </c>
      <c r="BR111" s="10">
        <f t="shared" si="179"/>
        <v>9.9166666666666661</v>
      </c>
      <c r="BS111" s="311"/>
      <c r="BT111" s="307"/>
      <c r="BU111" s="295">
        <f t="shared" si="180"/>
        <v>0</v>
      </c>
      <c r="BV111" s="323"/>
      <c r="BW111" s="299">
        <f t="shared" si="181"/>
        <v>0</v>
      </c>
      <c r="BX111" s="295">
        <f t="shared" si="182"/>
        <v>0</v>
      </c>
      <c r="BY111" s="382"/>
      <c r="BZ111" s="299">
        <f t="shared" si="189"/>
        <v>0</v>
      </c>
      <c r="CA111" s="295">
        <f t="shared" si="193"/>
        <v>0</v>
      </c>
      <c r="CB111" s="323"/>
      <c r="CC111" s="314">
        <f>Q111/AQ111*100+BS111/AQ111*100</f>
        <v>0</v>
      </c>
      <c r="CD111" s="326"/>
      <c r="CE111" s="299">
        <f t="shared" si="183"/>
        <v>0</v>
      </c>
      <c r="CF111" s="284">
        <f>CE111-CA111</f>
        <v>0</v>
      </c>
      <c r="CG111" s="323"/>
      <c r="CH111" s="302">
        <f t="shared" si="217"/>
        <v>0</v>
      </c>
      <c r="CI111" s="108">
        <f t="shared" si="184"/>
        <v>0</v>
      </c>
      <c r="CJ111" s="200">
        <f t="shared" si="185"/>
        <v>0</v>
      </c>
      <c r="CK111" s="197">
        <f t="shared" si="199"/>
        <v>0</v>
      </c>
      <c r="CL111" s="203">
        <f t="shared" si="186"/>
        <v>12</v>
      </c>
      <c r="CM111" s="4">
        <f>U111*Jahresdaten!$AD$2</f>
        <v>0</v>
      </c>
      <c r="CN111" s="112">
        <f>CJ111*Jahresdaten!$AD$2</f>
        <v>0</v>
      </c>
      <c r="CO111" s="366"/>
      <c r="CP111" s="116">
        <f>U111*Jahresdaten!$AD$3</f>
        <v>0</v>
      </c>
      <c r="CQ111" s="12">
        <f>CJ111*Jahresdaten!$AD$3</f>
        <v>0</v>
      </c>
      <c r="CR111" s="353"/>
      <c r="CS111" s="14"/>
      <c r="CT111" s="136"/>
      <c r="CU111" s="140" t="str">
        <f>IF(CT111=0,"",CT111*'Vergleich Holz Strom'!$B$2)</f>
        <v/>
      </c>
      <c r="CV111" s="353">
        <f>SUM(CJ110:CJ121)</f>
        <v>0</v>
      </c>
      <c r="CW111" s="366"/>
      <c r="CX111" s="345"/>
      <c r="CY111" s="345"/>
      <c r="CZ111" s="345"/>
      <c r="DA111" s="348"/>
      <c r="DB111" s="94"/>
      <c r="DC111" s="88">
        <f t="shared" si="281"/>
        <v>17371.678000000014</v>
      </c>
      <c r="DD111" s="94"/>
      <c r="DE111" s="88">
        <f t="shared" si="284"/>
        <v>-13123.112547000001</v>
      </c>
      <c r="DF111" s="100" t="e">
        <f ca="1">BE111+(SUM(CS110:CS121)/12)</f>
        <v>#N/A</v>
      </c>
      <c r="DG111" s="351"/>
      <c r="DH111" s="8">
        <f t="shared" ref="DH111:DH121" si="290">DH110+M111+S111+U111</f>
        <v>0</v>
      </c>
      <c r="DI111" s="123">
        <f t="shared" si="137"/>
        <v>3550</v>
      </c>
      <c r="DJ111" s="2">
        <f t="shared" ref="DJ111:DJ121" si="291">DJ110+M111</f>
        <v>0</v>
      </c>
      <c r="DK111" s="127">
        <f>DK121/12*2</f>
        <v>1300</v>
      </c>
      <c r="DL111" s="2">
        <f t="shared" ref="DL111:DL121" si="292">DL110</f>
        <v>650</v>
      </c>
      <c r="DM111" s="130">
        <f t="shared" ref="DM111:DM121" si="293">DM110+S111</f>
        <v>0</v>
      </c>
      <c r="DN111" s="3">
        <f>DN121/12*2</f>
        <v>500</v>
      </c>
      <c r="DO111" s="130">
        <f t="shared" ref="DO111:DO121" si="294">DO110</f>
        <v>250</v>
      </c>
      <c r="DP111" s="4">
        <f t="shared" ref="DP111:DP121" si="295">DP110+U111</f>
        <v>0</v>
      </c>
      <c r="DQ111" s="116">
        <f t="shared" ref="DQ111:DQ120" si="296">DQ110+DR111</f>
        <v>1750</v>
      </c>
      <c r="DR111" s="116">
        <f>DR99</f>
        <v>800</v>
      </c>
    </row>
    <row r="112" spans="1:122" ht="14.25" customHeight="1" thickBot="1" x14ac:dyDescent="0.2">
      <c r="A112" s="416"/>
      <c r="B112" s="16">
        <v>46722</v>
      </c>
      <c r="C112" s="207">
        <f>'PV-Felder'!$I$13</f>
        <v>559.9</v>
      </c>
      <c r="D112" s="351"/>
      <c r="E112" s="61">
        <v>0</v>
      </c>
      <c r="F112" s="351"/>
      <c r="G112" s="56" t="e">
        <f t="shared" ca="1" si="171"/>
        <v>#N/A</v>
      </c>
      <c r="H112" s="351"/>
      <c r="I112" s="61">
        <v>0</v>
      </c>
      <c r="J112" s="351"/>
      <c r="K112" s="61">
        <v>0</v>
      </c>
      <c r="L112" s="351"/>
      <c r="M112" s="65">
        <f t="shared" si="190"/>
        <v>0</v>
      </c>
      <c r="N112" s="373"/>
      <c r="O112" s="288"/>
      <c r="P112" s="288"/>
      <c r="Q112" s="286">
        <f t="shared" si="172"/>
        <v>0</v>
      </c>
      <c r="R112" s="334"/>
      <c r="S112" s="61">
        <v>0</v>
      </c>
      <c r="T112" s="376"/>
      <c r="U112" s="61">
        <v>0</v>
      </c>
      <c r="V112" s="342"/>
      <c r="W112" s="61">
        <v>0</v>
      </c>
      <c r="X112" s="342"/>
      <c r="Y112" s="211" t="e">
        <f t="shared" si="272"/>
        <v>#N/A</v>
      </c>
      <c r="Z112" s="370"/>
      <c r="AA112" s="61">
        <v>0</v>
      </c>
      <c r="AB112" s="351"/>
      <c r="AC112" s="61">
        <v>0</v>
      </c>
      <c r="AD112" s="351"/>
      <c r="AE112" s="73" t="e">
        <f t="shared" si="131"/>
        <v>#N/A</v>
      </c>
      <c r="AF112" s="356"/>
      <c r="AG112" s="73" t="e">
        <f t="shared" si="132"/>
        <v>#N/A</v>
      </c>
      <c r="AH112" s="356"/>
      <c r="AI112" s="221">
        <f t="shared" ref="AI112:AI120" si="297">AI111</f>
        <v>29.26</v>
      </c>
      <c r="AJ112" s="78">
        <f t="shared" ref="AJ112:AN112" si="298">AJ111</f>
        <v>0.26750000000000002</v>
      </c>
      <c r="AK112" s="79">
        <f t="shared" si="298"/>
        <v>9.9166666666666661</v>
      </c>
      <c r="AL112" s="80">
        <f t="shared" si="298"/>
        <v>187</v>
      </c>
      <c r="AM112" s="78">
        <f t="shared" si="298"/>
        <v>9.737942583732058E-2</v>
      </c>
      <c r="AN112" s="80">
        <f t="shared" si="298"/>
        <v>143</v>
      </c>
      <c r="AO112" s="78">
        <f>AO111</f>
        <v>0.21099999999999999</v>
      </c>
      <c r="AP112" s="88">
        <f>AP111</f>
        <v>12</v>
      </c>
      <c r="AQ112" s="64">
        <f t="shared" si="195"/>
        <v>21.5</v>
      </c>
      <c r="AR112" s="64">
        <f t="shared" si="196"/>
        <v>11.5</v>
      </c>
      <c r="AS112" s="88">
        <f t="shared" si="197"/>
        <v>1.1830000000000001</v>
      </c>
      <c r="AT112" s="91">
        <f t="shared" si="249"/>
        <v>283</v>
      </c>
      <c r="AU112" s="94"/>
      <c r="AV112" s="95"/>
      <c r="AW112" s="56">
        <f t="shared" si="174"/>
        <v>0</v>
      </c>
      <c r="AX112" s="351"/>
      <c r="AY112" s="100">
        <f t="shared" si="201"/>
        <v>9.9166666666666661</v>
      </c>
      <c r="AZ112" s="360"/>
      <c r="BA112" s="91">
        <f t="shared" si="289"/>
        <v>-1026.0292136666651</v>
      </c>
      <c r="BB112" s="5">
        <f t="shared" si="134"/>
        <v>-9.9166666666666661</v>
      </c>
      <c r="BC112" s="363"/>
      <c r="BD112" s="91" t="e">
        <f t="shared" ca="1" si="175"/>
        <v>#N/A</v>
      </c>
      <c r="BE112" s="91" t="e">
        <f t="shared" ca="1" si="176"/>
        <v>#N/A</v>
      </c>
      <c r="BF112" s="91">
        <f t="shared" si="177"/>
        <v>31.833333333333329</v>
      </c>
      <c r="BG112" s="91" t="e">
        <f t="shared" ca="1" si="178"/>
        <v>#N/A</v>
      </c>
      <c r="BH112" s="91" t="e">
        <f t="shared" ca="1" si="221"/>
        <v>#N/A</v>
      </c>
      <c r="BI112" s="10" t="e">
        <f t="shared" ca="1" si="192"/>
        <v>#N/A</v>
      </c>
      <c r="BJ112" s="104">
        <f>((M112+Q112)*AJ112+AK112)+((U112-W112+W112/('Vergleich Holz Strom'!$B$8-0.6))*AO112+AP112)</f>
        <v>21.916666666666664</v>
      </c>
      <c r="BK112" s="10" t="e">
        <f t="shared" ca="1" si="135"/>
        <v>#N/A</v>
      </c>
      <c r="BL112" s="379"/>
      <c r="BM112" s="104" t="e">
        <f t="shared" ca="1" si="188"/>
        <v>#N/A</v>
      </c>
      <c r="BN112" s="40" t="e">
        <f ca="1">IF(ISNUMBER(BK112),BN111+SUMIF(BK110:BK121,"&lt;&gt;#NV",BK110:BK121)/COUNTIF(BK110:BK121,"&lt;&gt;#NV"),#N/A)</f>
        <v>#N/A</v>
      </c>
      <c r="BO112" s="10" t="e">
        <f t="shared" ca="1" si="283"/>
        <v>#N/A</v>
      </c>
      <c r="BP112" s="104" t="e">
        <f t="shared" ca="1" si="136"/>
        <v>#N/A</v>
      </c>
      <c r="BQ112" s="104">
        <f t="shared" ca="1" si="154"/>
        <v>-61022.124769222064</v>
      </c>
      <c r="BR112" s="10">
        <f t="shared" si="179"/>
        <v>9.9166666666666661</v>
      </c>
      <c r="BS112" s="311"/>
      <c r="BT112" s="307"/>
      <c r="BU112" s="295">
        <f t="shared" si="180"/>
        <v>0</v>
      </c>
      <c r="BV112" s="323"/>
      <c r="BW112" s="299">
        <f t="shared" si="181"/>
        <v>0</v>
      </c>
      <c r="BX112" s="295">
        <f t="shared" si="182"/>
        <v>0</v>
      </c>
      <c r="BY112" s="382"/>
      <c r="BZ112" s="299">
        <f t="shared" si="189"/>
        <v>0</v>
      </c>
      <c r="CA112" s="295">
        <f t="shared" si="193"/>
        <v>0</v>
      </c>
      <c r="CB112" s="323"/>
      <c r="CC112" s="314">
        <f t="shared" ref="CC112:CC122" si="299">Q112/AQ112*100+BS112/AQ112*100</f>
        <v>0</v>
      </c>
      <c r="CD112" s="326"/>
      <c r="CE112" s="299">
        <f t="shared" si="183"/>
        <v>0</v>
      </c>
      <c r="CF112" s="284">
        <f t="shared" ref="CF112:CF122" si="300">CE112-CA112</f>
        <v>0</v>
      </c>
      <c r="CG112" s="323"/>
      <c r="CH112" s="302">
        <f t="shared" si="217"/>
        <v>0</v>
      </c>
      <c r="CI112" s="108">
        <f t="shared" si="184"/>
        <v>0</v>
      </c>
      <c r="CJ112" s="200">
        <f t="shared" si="185"/>
        <v>0</v>
      </c>
      <c r="CK112" s="197">
        <f t="shared" si="199"/>
        <v>0</v>
      </c>
      <c r="CL112" s="203">
        <f t="shared" si="186"/>
        <v>12</v>
      </c>
      <c r="CM112" s="4">
        <f>U112*Jahresdaten!$AD$2</f>
        <v>0</v>
      </c>
      <c r="CN112" s="112">
        <f>CJ112*Jahresdaten!$AD$2</f>
        <v>0</v>
      </c>
      <c r="CO112" s="366"/>
      <c r="CP112" s="116">
        <f>U112*Jahresdaten!$AD$3</f>
        <v>0</v>
      </c>
      <c r="CQ112" s="12">
        <f>CJ112*Jahresdaten!$AD$3</f>
        <v>0</v>
      </c>
      <c r="CR112" s="353"/>
      <c r="CS112" s="14"/>
      <c r="CT112" s="136"/>
      <c r="CU112" s="140" t="str">
        <f>IF(CT112=0,"",CT112*'Vergleich Holz Strom'!$B$2)</f>
        <v/>
      </c>
      <c r="CV112" s="353"/>
      <c r="CW112" s="366"/>
      <c r="CX112" s="345"/>
      <c r="CY112" s="345"/>
      <c r="CZ112" s="345"/>
      <c r="DA112" s="348"/>
      <c r="DB112" s="94"/>
      <c r="DC112" s="88">
        <f t="shared" si="281"/>
        <v>17548.761333333347</v>
      </c>
      <c r="DD112" s="94"/>
      <c r="DE112" s="88">
        <f t="shared" si="284"/>
        <v>-13266.112547000001</v>
      </c>
      <c r="DF112" s="100" t="e">
        <f ca="1">BE112+(SUM(CS110:CS121)/12)</f>
        <v>#N/A</v>
      </c>
      <c r="DG112" s="351"/>
      <c r="DH112" s="8">
        <f t="shared" si="290"/>
        <v>0</v>
      </c>
      <c r="DI112" s="123">
        <f t="shared" si="137"/>
        <v>5300</v>
      </c>
      <c r="DJ112" s="2">
        <f t="shared" si="291"/>
        <v>0</v>
      </c>
      <c r="DK112" s="127">
        <f>DK121/12*3</f>
        <v>1950</v>
      </c>
      <c r="DL112" s="2">
        <f t="shared" si="292"/>
        <v>650</v>
      </c>
      <c r="DM112" s="130">
        <f t="shared" si="293"/>
        <v>0</v>
      </c>
      <c r="DN112" s="3">
        <f>DN121/12*3</f>
        <v>750</v>
      </c>
      <c r="DO112" s="130">
        <f t="shared" si="294"/>
        <v>250</v>
      </c>
      <c r="DP112" s="4">
        <f t="shared" si="295"/>
        <v>0</v>
      </c>
      <c r="DQ112" s="116">
        <f t="shared" si="296"/>
        <v>2600</v>
      </c>
      <c r="DR112" s="116">
        <f t="shared" ref="DR112:DR120" si="301">DR100</f>
        <v>850.00000000000011</v>
      </c>
    </row>
    <row r="113" spans="1:122" ht="14.25" customHeight="1" thickBot="1" x14ac:dyDescent="0.2">
      <c r="A113" s="416"/>
      <c r="B113" s="16">
        <v>46753</v>
      </c>
      <c r="C113" s="207">
        <f>'PV-Felder'!$I$2</f>
        <v>660.80000000000007</v>
      </c>
      <c r="D113" s="351"/>
      <c r="E113" s="61">
        <v>0</v>
      </c>
      <c r="F113" s="351"/>
      <c r="G113" s="56" t="e">
        <f t="shared" ca="1" si="171"/>
        <v>#N/A</v>
      </c>
      <c r="H113" s="351"/>
      <c r="I113" s="61">
        <v>0</v>
      </c>
      <c r="J113" s="351"/>
      <c r="K113" s="61">
        <v>0</v>
      </c>
      <c r="L113" s="351"/>
      <c r="M113" s="65">
        <f t="shared" si="190"/>
        <v>0</v>
      </c>
      <c r="N113" s="373"/>
      <c r="O113" s="288"/>
      <c r="P113" s="288"/>
      <c r="Q113" s="286">
        <f t="shared" si="172"/>
        <v>0</v>
      </c>
      <c r="R113" s="334"/>
      <c r="S113" s="61">
        <v>0</v>
      </c>
      <c r="T113" s="376"/>
      <c r="U113" s="61">
        <v>0</v>
      </c>
      <c r="V113" s="342"/>
      <c r="W113" s="61">
        <v>0</v>
      </c>
      <c r="X113" s="342"/>
      <c r="Y113" s="211" t="e">
        <f t="shared" si="272"/>
        <v>#N/A</v>
      </c>
      <c r="Z113" s="370"/>
      <c r="AA113" s="61">
        <v>0</v>
      </c>
      <c r="AB113" s="351"/>
      <c r="AC113" s="61">
        <v>0</v>
      </c>
      <c r="AD113" s="351"/>
      <c r="AE113" s="73" t="e">
        <f t="shared" si="131"/>
        <v>#N/A</v>
      </c>
      <c r="AF113" s="356"/>
      <c r="AG113" s="73" t="e">
        <f t="shared" si="132"/>
        <v>#N/A</v>
      </c>
      <c r="AH113" s="356"/>
      <c r="AI113" s="221">
        <f t="shared" si="297"/>
        <v>29.26</v>
      </c>
      <c r="AJ113" s="78">
        <f t="shared" ref="AJ113:AP113" si="302">AJ112</f>
        <v>0.26750000000000002</v>
      </c>
      <c r="AK113" s="79">
        <f t="shared" si="302"/>
        <v>9.9166666666666661</v>
      </c>
      <c r="AL113" s="80">
        <f t="shared" si="302"/>
        <v>187</v>
      </c>
      <c r="AM113" s="78">
        <f t="shared" si="302"/>
        <v>9.737942583732058E-2</v>
      </c>
      <c r="AN113" s="80">
        <f t="shared" si="302"/>
        <v>143</v>
      </c>
      <c r="AO113" s="78">
        <f t="shared" si="302"/>
        <v>0.21099999999999999</v>
      </c>
      <c r="AP113" s="88">
        <f t="shared" si="302"/>
        <v>12</v>
      </c>
      <c r="AQ113" s="64">
        <f t="shared" si="195"/>
        <v>21.5</v>
      </c>
      <c r="AR113" s="64">
        <f t="shared" si="196"/>
        <v>11.5</v>
      </c>
      <c r="AS113" s="88">
        <f t="shared" si="197"/>
        <v>1.1830000000000001</v>
      </c>
      <c r="AT113" s="91">
        <f t="shared" si="249"/>
        <v>283</v>
      </c>
      <c r="AU113" s="94"/>
      <c r="AV113" s="95"/>
      <c r="AW113" s="56">
        <f t="shared" si="174"/>
        <v>0</v>
      </c>
      <c r="AX113" s="351"/>
      <c r="AY113" s="100">
        <f t="shared" si="201"/>
        <v>9.9166666666666661</v>
      </c>
      <c r="AZ113" s="360"/>
      <c r="BA113" s="91">
        <f t="shared" si="289"/>
        <v>-1035.9458803333318</v>
      </c>
      <c r="BB113" s="5">
        <f t="shared" si="134"/>
        <v>-9.9166666666666661</v>
      </c>
      <c r="BC113" s="363"/>
      <c r="BD113" s="91" t="e">
        <f t="shared" ca="1" si="175"/>
        <v>#N/A</v>
      </c>
      <c r="BE113" s="91" t="e">
        <f t="shared" ca="1" si="176"/>
        <v>#N/A</v>
      </c>
      <c r="BF113" s="91">
        <f t="shared" si="177"/>
        <v>31.833333333333329</v>
      </c>
      <c r="BG113" s="91" t="e">
        <f t="shared" ca="1" si="178"/>
        <v>#N/A</v>
      </c>
      <c r="BH113" s="91" t="e">
        <f t="shared" ca="1" si="221"/>
        <v>#N/A</v>
      </c>
      <c r="BI113" s="10" t="e">
        <f t="shared" ca="1" si="192"/>
        <v>#N/A</v>
      </c>
      <c r="BJ113" s="104">
        <f>((M113+Q113)*AJ113+AK113)+((U113-W113+W113/('Vergleich Holz Strom'!$B$8-0.6))*AO113+AP113)</f>
        <v>21.916666666666664</v>
      </c>
      <c r="BK113" s="10" t="e">
        <f t="shared" ca="1" si="135"/>
        <v>#N/A</v>
      </c>
      <c r="BL113" s="379"/>
      <c r="BM113" s="104" t="e">
        <f t="shared" ca="1" si="188"/>
        <v>#N/A</v>
      </c>
      <c r="BN113" s="40" t="e">
        <f ca="1">IF(ISNUMBER(BK113),BN112+SUMIF(BK110:BK121,"&lt;&gt;#NV",BK110:BK121)/COUNTIF(BK110:BK121,"&lt;&gt;#NV"),#N/A)</f>
        <v>#N/A</v>
      </c>
      <c r="BO113" s="10" t="e">
        <f t="shared" ca="1" si="283"/>
        <v>#N/A</v>
      </c>
      <c r="BP113" s="104" t="e">
        <f t="shared" ca="1" si="136"/>
        <v>#N/A</v>
      </c>
      <c r="BQ113" s="104">
        <f t="shared" ca="1" si="154"/>
        <v>-61010.124769222064</v>
      </c>
      <c r="BR113" s="10">
        <f t="shared" si="179"/>
        <v>9.9166666666666661</v>
      </c>
      <c r="BS113" s="311"/>
      <c r="BT113" s="307"/>
      <c r="BU113" s="295">
        <f t="shared" si="180"/>
        <v>0</v>
      </c>
      <c r="BV113" s="323"/>
      <c r="BW113" s="299">
        <f t="shared" si="181"/>
        <v>0</v>
      </c>
      <c r="BX113" s="295">
        <f t="shared" si="182"/>
        <v>0</v>
      </c>
      <c r="BY113" s="382"/>
      <c r="BZ113" s="299">
        <f t="shared" si="189"/>
        <v>0</v>
      </c>
      <c r="CA113" s="295">
        <f t="shared" si="193"/>
        <v>0</v>
      </c>
      <c r="CB113" s="323"/>
      <c r="CC113" s="314">
        <f t="shared" si="299"/>
        <v>0</v>
      </c>
      <c r="CD113" s="326"/>
      <c r="CE113" s="299">
        <f t="shared" si="183"/>
        <v>0</v>
      </c>
      <c r="CF113" s="284">
        <f t="shared" si="300"/>
        <v>0</v>
      </c>
      <c r="CG113" s="323"/>
      <c r="CH113" s="302">
        <f t="shared" si="217"/>
        <v>0</v>
      </c>
      <c r="CI113" s="108">
        <f t="shared" si="184"/>
        <v>0</v>
      </c>
      <c r="CJ113" s="200">
        <f t="shared" si="185"/>
        <v>0</v>
      </c>
      <c r="CK113" s="197">
        <f t="shared" si="199"/>
        <v>0</v>
      </c>
      <c r="CL113" s="203">
        <f t="shared" si="186"/>
        <v>12</v>
      </c>
      <c r="CM113" s="4">
        <f>U113*Jahresdaten!$AD$2</f>
        <v>0</v>
      </c>
      <c r="CN113" s="112">
        <f>CJ113*Jahresdaten!$AD$2</f>
        <v>0</v>
      </c>
      <c r="CO113" s="366"/>
      <c r="CP113" s="116">
        <f>U113*Jahresdaten!$AD$3</f>
        <v>0</v>
      </c>
      <c r="CQ113" s="12">
        <f>CJ113*Jahresdaten!$AD$3</f>
        <v>0</v>
      </c>
      <c r="CR113" s="353"/>
      <c r="CS113" s="14"/>
      <c r="CT113" s="136"/>
      <c r="CU113" s="140" t="str">
        <f>IF(CT113=0,"",CT113*'Vergleich Holz Strom'!$B$2)</f>
        <v/>
      </c>
      <c r="CV113" s="353"/>
      <c r="CW113" s="366"/>
      <c r="CX113" s="345"/>
      <c r="CY113" s="345"/>
      <c r="CZ113" s="345"/>
      <c r="DA113" s="348"/>
      <c r="DB113" s="94"/>
      <c r="DC113" s="88">
        <f t="shared" si="281"/>
        <v>17725.844666666679</v>
      </c>
      <c r="DD113" s="94"/>
      <c r="DE113" s="88">
        <f t="shared" si="284"/>
        <v>-13409.112547000001</v>
      </c>
      <c r="DF113" s="100" t="e">
        <f ca="1">BE113+(SUM(CS110:CS121)/12)</f>
        <v>#N/A</v>
      </c>
      <c r="DG113" s="351"/>
      <c r="DH113" s="8">
        <f t="shared" si="290"/>
        <v>0</v>
      </c>
      <c r="DI113" s="123">
        <f t="shared" si="137"/>
        <v>7350</v>
      </c>
      <c r="DJ113" s="2">
        <f t="shared" si="291"/>
        <v>0</v>
      </c>
      <c r="DK113" s="127">
        <f>DK121/12*4</f>
        <v>2600</v>
      </c>
      <c r="DL113" s="2">
        <f t="shared" si="292"/>
        <v>650</v>
      </c>
      <c r="DM113" s="130">
        <f t="shared" si="293"/>
        <v>0</v>
      </c>
      <c r="DN113" s="3">
        <f>DN121/12*4</f>
        <v>1000</v>
      </c>
      <c r="DO113" s="130">
        <f t="shared" si="294"/>
        <v>250</v>
      </c>
      <c r="DP113" s="4">
        <f t="shared" si="295"/>
        <v>0</v>
      </c>
      <c r="DQ113" s="116">
        <f t="shared" si="296"/>
        <v>3750</v>
      </c>
      <c r="DR113" s="116">
        <f t="shared" si="301"/>
        <v>1150</v>
      </c>
    </row>
    <row r="114" spans="1:122" ht="14.25" customHeight="1" thickBot="1" x14ac:dyDescent="0.2">
      <c r="A114" s="416"/>
      <c r="B114" s="16">
        <v>46784</v>
      </c>
      <c r="C114" s="207">
        <f>'PV-Felder'!$I$3</f>
        <v>922.2</v>
      </c>
      <c r="D114" s="351"/>
      <c r="E114" s="61">
        <v>0</v>
      </c>
      <c r="F114" s="351"/>
      <c r="G114" s="56" t="e">
        <f t="shared" ca="1" si="171"/>
        <v>#N/A</v>
      </c>
      <c r="H114" s="351"/>
      <c r="I114" s="61">
        <v>0</v>
      </c>
      <c r="J114" s="351"/>
      <c r="K114" s="61">
        <v>0</v>
      </c>
      <c r="L114" s="351"/>
      <c r="M114" s="65">
        <f t="shared" si="190"/>
        <v>0</v>
      </c>
      <c r="N114" s="373"/>
      <c r="O114" s="288"/>
      <c r="P114" s="288"/>
      <c r="Q114" s="286">
        <f t="shared" si="172"/>
        <v>0</v>
      </c>
      <c r="R114" s="334"/>
      <c r="S114" s="61">
        <v>0</v>
      </c>
      <c r="T114" s="376"/>
      <c r="U114" s="61">
        <v>0</v>
      </c>
      <c r="V114" s="342"/>
      <c r="W114" s="61">
        <v>0</v>
      </c>
      <c r="X114" s="342"/>
      <c r="Y114" s="211" t="e">
        <f t="shared" si="272"/>
        <v>#N/A</v>
      </c>
      <c r="Z114" s="370"/>
      <c r="AA114" s="61">
        <v>0</v>
      </c>
      <c r="AB114" s="351"/>
      <c r="AC114" s="61">
        <v>0</v>
      </c>
      <c r="AD114" s="351"/>
      <c r="AE114" s="73" t="e">
        <f t="shared" ref="AE114:AE177" si="303">IF(E114=0,#N/A,1/E114*(E114-AC114))</f>
        <v>#N/A</v>
      </c>
      <c r="AF114" s="356"/>
      <c r="AG114" s="73" t="e">
        <f t="shared" ref="AG114:AG177" si="304">IF(E114=0,#N/A,1/(I114+K114+AA114)*(I114+K114))</f>
        <v>#N/A</v>
      </c>
      <c r="AH114" s="356"/>
      <c r="AI114" s="221">
        <f t="shared" si="297"/>
        <v>29.26</v>
      </c>
      <c r="AJ114" s="78">
        <f t="shared" ref="AJ114:AP114" si="305">AJ113</f>
        <v>0.26750000000000002</v>
      </c>
      <c r="AK114" s="79">
        <f t="shared" si="305"/>
        <v>9.9166666666666661</v>
      </c>
      <c r="AL114" s="80">
        <f t="shared" si="305"/>
        <v>187</v>
      </c>
      <c r="AM114" s="78">
        <f t="shared" si="305"/>
        <v>9.737942583732058E-2</v>
      </c>
      <c r="AN114" s="80">
        <f t="shared" si="305"/>
        <v>143</v>
      </c>
      <c r="AO114" s="78">
        <f t="shared" si="305"/>
        <v>0.21099999999999999</v>
      </c>
      <c r="AP114" s="88">
        <f t="shared" si="305"/>
        <v>12</v>
      </c>
      <c r="AQ114" s="64">
        <f t="shared" si="195"/>
        <v>21.5</v>
      </c>
      <c r="AR114" s="64">
        <f t="shared" si="196"/>
        <v>11.5</v>
      </c>
      <c r="AS114" s="88">
        <f t="shared" si="197"/>
        <v>1.1830000000000001</v>
      </c>
      <c r="AT114" s="91">
        <f t="shared" si="249"/>
        <v>283</v>
      </c>
      <c r="AU114" s="94"/>
      <c r="AV114" s="95"/>
      <c r="AW114" s="56">
        <f t="shared" si="174"/>
        <v>0</v>
      </c>
      <c r="AX114" s="351"/>
      <c r="AY114" s="100">
        <f t="shared" si="201"/>
        <v>9.9166666666666661</v>
      </c>
      <c r="AZ114" s="360"/>
      <c r="BA114" s="91">
        <f t="shared" si="289"/>
        <v>-1045.8625469999986</v>
      </c>
      <c r="BB114" s="5">
        <f t="shared" ref="BB114:BB177" si="306">-AY114</f>
        <v>-9.9166666666666661</v>
      </c>
      <c r="BC114" s="363"/>
      <c r="BD114" s="91" t="e">
        <f t="shared" ca="1" si="175"/>
        <v>#N/A</v>
      </c>
      <c r="BE114" s="91" t="e">
        <f t="shared" ca="1" si="176"/>
        <v>#N/A</v>
      </c>
      <c r="BF114" s="91">
        <f t="shared" si="177"/>
        <v>31.833333333333329</v>
      </c>
      <c r="BG114" s="91" t="e">
        <f t="shared" ca="1" si="178"/>
        <v>#N/A</v>
      </c>
      <c r="BH114" s="91" t="e">
        <f t="shared" ca="1" si="221"/>
        <v>#N/A</v>
      </c>
      <c r="BI114" s="10" t="e">
        <f t="shared" ca="1" si="192"/>
        <v>#N/A</v>
      </c>
      <c r="BJ114" s="104">
        <f>((M114+Q114)*AJ114+AK114)+((U114-W114+W114/('Vergleich Holz Strom'!$B$8-0.6))*AO114+AP114)</f>
        <v>21.916666666666664</v>
      </c>
      <c r="BK114" s="10" t="e">
        <f t="shared" ref="BK114:BK177" ca="1" si="307">BJ114-BI114</f>
        <v>#N/A</v>
      </c>
      <c r="BL114" s="379"/>
      <c r="BM114" s="104" t="e">
        <f t="shared" ca="1" si="188"/>
        <v>#N/A</v>
      </c>
      <c r="BN114" s="40" t="e">
        <f ca="1">IF(ISNUMBER(BK114),BN113+SUMIF(BK110:BK121,"&lt;&gt;#NV",BK110:BK121)/COUNTIF(BK110:BK121,"&lt;&gt;#NV"),#N/A)</f>
        <v>#N/A</v>
      </c>
      <c r="BO114" s="10" t="e">
        <f t="shared" ca="1" si="283"/>
        <v>#N/A</v>
      </c>
      <c r="BP114" s="104" t="e">
        <f t="shared" ref="BP114:BP177" ca="1" si="308">BP113+BO114</f>
        <v>#N/A</v>
      </c>
      <c r="BQ114" s="104">
        <f t="shared" ca="1" si="154"/>
        <v>-60990.924769222067</v>
      </c>
      <c r="BR114" s="10">
        <f t="shared" si="179"/>
        <v>9.9166666666666661</v>
      </c>
      <c r="BS114" s="311"/>
      <c r="BT114" s="307"/>
      <c r="BU114" s="295">
        <f t="shared" si="180"/>
        <v>0</v>
      </c>
      <c r="BV114" s="323"/>
      <c r="BW114" s="299">
        <f t="shared" si="181"/>
        <v>0</v>
      </c>
      <c r="BX114" s="295">
        <f t="shared" si="182"/>
        <v>0</v>
      </c>
      <c r="BY114" s="382"/>
      <c r="BZ114" s="299">
        <f t="shared" si="189"/>
        <v>0</v>
      </c>
      <c r="CA114" s="295">
        <f t="shared" si="193"/>
        <v>0</v>
      </c>
      <c r="CB114" s="323"/>
      <c r="CC114" s="314">
        <f t="shared" si="299"/>
        <v>0</v>
      </c>
      <c r="CD114" s="326"/>
      <c r="CE114" s="299">
        <f t="shared" si="183"/>
        <v>0</v>
      </c>
      <c r="CF114" s="284">
        <f t="shared" si="300"/>
        <v>0</v>
      </c>
      <c r="CG114" s="323"/>
      <c r="CH114" s="302">
        <f t="shared" si="217"/>
        <v>0</v>
      </c>
      <c r="CI114" s="108">
        <f t="shared" si="184"/>
        <v>0</v>
      </c>
      <c r="CJ114" s="200">
        <f t="shared" si="185"/>
        <v>0</v>
      </c>
      <c r="CK114" s="197">
        <f t="shared" si="199"/>
        <v>0</v>
      </c>
      <c r="CL114" s="203">
        <f t="shared" si="186"/>
        <v>12</v>
      </c>
      <c r="CM114" s="4">
        <f>U114*Jahresdaten!$AD$2</f>
        <v>0</v>
      </c>
      <c r="CN114" s="112">
        <f>CJ114*Jahresdaten!$AD$2</f>
        <v>0</v>
      </c>
      <c r="CO114" s="366"/>
      <c r="CP114" s="116">
        <f>U114*Jahresdaten!$AD$3</f>
        <v>0</v>
      </c>
      <c r="CQ114" s="12">
        <f>CJ114*Jahresdaten!$AD$3</f>
        <v>0</v>
      </c>
      <c r="CR114" s="353"/>
      <c r="CS114" s="14"/>
      <c r="CT114" s="136"/>
      <c r="CU114" s="140" t="str">
        <f>IF(CT114=0,"",CT114*'Vergleich Holz Strom'!$B$2)</f>
        <v/>
      </c>
      <c r="CV114" s="353"/>
      <c r="CW114" s="366"/>
      <c r="CX114" s="345"/>
      <c r="CY114" s="345"/>
      <c r="CZ114" s="345"/>
      <c r="DA114" s="348"/>
      <c r="DB114" s="94"/>
      <c r="DC114" s="88">
        <f t="shared" si="281"/>
        <v>17902.928000000011</v>
      </c>
      <c r="DD114" s="94"/>
      <c r="DE114" s="88">
        <f t="shared" si="284"/>
        <v>-13552.112547000001</v>
      </c>
      <c r="DF114" s="100" t="e">
        <f ca="1">BE114+(SUM(CS110:CS121)/12)</f>
        <v>#N/A</v>
      </c>
      <c r="DG114" s="351"/>
      <c r="DH114" s="8">
        <f t="shared" si="290"/>
        <v>0</v>
      </c>
      <c r="DI114" s="123">
        <f t="shared" ref="DI114:DI177" si="309">DK114+DN114+DQ114</f>
        <v>9600</v>
      </c>
      <c r="DJ114" s="2">
        <f t="shared" si="291"/>
        <v>0</v>
      </c>
      <c r="DK114" s="127">
        <f>DK121/12*5</f>
        <v>3250</v>
      </c>
      <c r="DL114" s="2">
        <f t="shared" si="292"/>
        <v>650</v>
      </c>
      <c r="DM114" s="130">
        <f t="shared" si="293"/>
        <v>0</v>
      </c>
      <c r="DN114" s="3">
        <f>DN121/12*5</f>
        <v>1250</v>
      </c>
      <c r="DO114" s="130">
        <f t="shared" si="294"/>
        <v>250</v>
      </c>
      <c r="DP114" s="4">
        <f t="shared" si="295"/>
        <v>0</v>
      </c>
      <c r="DQ114" s="116">
        <f t="shared" si="296"/>
        <v>5100</v>
      </c>
      <c r="DR114" s="116">
        <f t="shared" si="301"/>
        <v>1350</v>
      </c>
    </row>
    <row r="115" spans="1:122" ht="14.25" customHeight="1" thickBot="1" x14ac:dyDescent="0.2">
      <c r="A115" s="416"/>
      <c r="B115" s="16">
        <v>46813</v>
      </c>
      <c r="C115" s="207">
        <f>'PV-Felder'!$I$4</f>
        <v>1860</v>
      </c>
      <c r="D115" s="351"/>
      <c r="E115" s="61">
        <v>0</v>
      </c>
      <c r="F115" s="351"/>
      <c r="G115" s="56" t="e">
        <f t="shared" ca="1" si="171"/>
        <v>#N/A</v>
      </c>
      <c r="H115" s="351"/>
      <c r="I115" s="61">
        <v>0</v>
      </c>
      <c r="J115" s="351"/>
      <c r="K115" s="61">
        <v>0</v>
      </c>
      <c r="L115" s="351"/>
      <c r="M115" s="65">
        <f t="shared" si="190"/>
        <v>0</v>
      </c>
      <c r="N115" s="373"/>
      <c r="O115" s="288"/>
      <c r="P115" s="288"/>
      <c r="Q115" s="286">
        <f t="shared" si="172"/>
        <v>0</v>
      </c>
      <c r="R115" s="334"/>
      <c r="S115" s="61">
        <v>0</v>
      </c>
      <c r="T115" s="376"/>
      <c r="U115" s="61">
        <v>0</v>
      </c>
      <c r="V115" s="342"/>
      <c r="W115" s="61">
        <v>0</v>
      </c>
      <c r="X115" s="342"/>
      <c r="Y115" s="211" t="e">
        <f t="shared" si="272"/>
        <v>#N/A</v>
      </c>
      <c r="Z115" s="370"/>
      <c r="AA115" s="61">
        <v>0</v>
      </c>
      <c r="AB115" s="351"/>
      <c r="AC115" s="61">
        <v>0</v>
      </c>
      <c r="AD115" s="351"/>
      <c r="AE115" s="73" t="e">
        <f t="shared" si="303"/>
        <v>#N/A</v>
      </c>
      <c r="AF115" s="356"/>
      <c r="AG115" s="73" t="e">
        <f t="shared" si="304"/>
        <v>#N/A</v>
      </c>
      <c r="AH115" s="356"/>
      <c r="AI115" s="221">
        <f t="shared" si="297"/>
        <v>29.26</v>
      </c>
      <c r="AJ115" s="78">
        <f t="shared" ref="AJ115:AP115" si="310">AJ114</f>
        <v>0.26750000000000002</v>
      </c>
      <c r="AK115" s="79">
        <f t="shared" si="310"/>
        <v>9.9166666666666661</v>
      </c>
      <c r="AL115" s="80">
        <f t="shared" si="310"/>
        <v>187</v>
      </c>
      <c r="AM115" s="78">
        <f t="shared" si="310"/>
        <v>9.737942583732058E-2</v>
      </c>
      <c r="AN115" s="80">
        <f t="shared" si="310"/>
        <v>143</v>
      </c>
      <c r="AO115" s="78">
        <f t="shared" si="310"/>
        <v>0.21099999999999999</v>
      </c>
      <c r="AP115" s="88">
        <f t="shared" si="310"/>
        <v>12</v>
      </c>
      <c r="AQ115" s="64">
        <f t="shared" si="195"/>
        <v>21.5</v>
      </c>
      <c r="AR115" s="64">
        <f t="shared" si="196"/>
        <v>11.5</v>
      </c>
      <c r="AS115" s="88">
        <f t="shared" si="197"/>
        <v>1.1830000000000001</v>
      </c>
      <c r="AT115" s="91">
        <f t="shared" si="249"/>
        <v>283</v>
      </c>
      <c r="AU115" s="94"/>
      <c r="AV115" s="95"/>
      <c r="AW115" s="56">
        <f t="shared" si="174"/>
        <v>0</v>
      </c>
      <c r="AX115" s="351"/>
      <c r="AY115" s="100">
        <f t="shared" si="201"/>
        <v>9.9166666666666661</v>
      </c>
      <c r="AZ115" s="360"/>
      <c r="BA115" s="91">
        <f t="shared" si="289"/>
        <v>-1055.7792136666653</v>
      </c>
      <c r="BB115" s="5">
        <f t="shared" si="306"/>
        <v>-9.9166666666666661</v>
      </c>
      <c r="BC115" s="363"/>
      <c r="BD115" s="91" t="e">
        <f t="shared" ca="1" si="175"/>
        <v>#N/A</v>
      </c>
      <c r="BE115" s="91" t="e">
        <f t="shared" ca="1" si="176"/>
        <v>#N/A</v>
      </c>
      <c r="BF115" s="91">
        <f t="shared" si="177"/>
        <v>31.833333333333329</v>
      </c>
      <c r="BG115" s="91" t="e">
        <f t="shared" ca="1" si="178"/>
        <v>#N/A</v>
      </c>
      <c r="BH115" s="91" t="e">
        <f t="shared" ca="1" si="221"/>
        <v>#N/A</v>
      </c>
      <c r="BI115" s="10" t="e">
        <f t="shared" ca="1" si="192"/>
        <v>#N/A</v>
      </c>
      <c r="BJ115" s="104">
        <f>((M115+Q115)*AJ115+AK115)+((U115-W115+W115/('Vergleich Holz Strom'!$B$8-0.6))*AO115+AP115)</f>
        <v>21.916666666666664</v>
      </c>
      <c r="BK115" s="10" t="e">
        <f t="shared" ca="1" si="307"/>
        <v>#N/A</v>
      </c>
      <c r="BL115" s="379"/>
      <c r="BM115" s="104" t="e">
        <f t="shared" ca="1" si="188"/>
        <v>#N/A</v>
      </c>
      <c r="BN115" s="40" t="e">
        <f ca="1">IF(ISNUMBER(BK115),BN114+SUMIF(BK110:BK121,"&lt;&gt;#NV",BK110:BK121)/COUNTIF(BK110:BK121,"&lt;&gt;#NV"),#N/A)</f>
        <v>#N/A</v>
      </c>
      <c r="BO115" s="10" t="e">
        <f t="shared" ca="1" si="283"/>
        <v>#N/A</v>
      </c>
      <c r="BP115" s="104" t="e">
        <f t="shared" ca="1" si="308"/>
        <v>#N/A</v>
      </c>
      <c r="BQ115" s="104">
        <f t="shared" ca="1" si="154"/>
        <v>-60971.72476922207</v>
      </c>
      <c r="BR115" s="10">
        <f t="shared" si="179"/>
        <v>9.9166666666666661</v>
      </c>
      <c r="BS115" s="311"/>
      <c r="BT115" s="307"/>
      <c r="BU115" s="295">
        <f t="shared" si="180"/>
        <v>0</v>
      </c>
      <c r="BV115" s="323"/>
      <c r="BW115" s="299">
        <f t="shared" si="181"/>
        <v>0</v>
      </c>
      <c r="BX115" s="295">
        <f t="shared" si="182"/>
        <v>0</v>
      </c>
      <c r="BY115" s="382"/>
      <c r="BZ115" s="299">
        <f t="shared" si="189"/>
        <v>0</v>
      </c>
      <c r="CA115" s="295">
        <f t="shared" si="193"/>
        <v>0</v>
      </c>
      <c r="CB115" s="323"/>
      <c r="CC115" s="314">
        <f t="shared" si="299"/>
        <v>0</v>
      </c>
      <c r="CD115" s="326"/>
      <c r="CE115" s="299">
        <f t="shared" si="183"/>
        <v>0</v>
      </c>
      <c r="CF115" s="284">
        <f t="shared" si="300"/>
        <v>0</v>
      </c>
      <c r="CG115" s="323"/>
      <c r="CH115" s="302">
        <f t="shared" si="217"/>
        <v>0</v>
      </c>
      <c r="CI115" s="108">
        <f t="shared" si="184"/>
        <v>0</v>
      </c>
      <c r="CJ115" s="200">
        <f t="shared" si="185"/>
        <v>0</v>
      </c>
      <c r="CK115" s="197">
        <f t="shared" si="199"/>
        <v>0</v>
      </c>
      <c r="CL115" s="203">
        <f t="shared" si="186"/>
        <v>12</v>
      </c>
      <c r="CM115" s="4">
        <f>U115*Jahresdaten!$AD$2</f>
        <v>0</v>
      </c>
      <c r="CN115" s="112">
        <f>CJ115*Jahresdaten!$AD$2</f>
        <v>0</v>
      </c>
      <c r="CO115" s="366"/>
      <c r="CP115" s="116">
        <f>U115*Jahresdaten!$AD$3</f>
        <v>0</v>
      </c>
      <c r="CQ115" s="12">
        <f>CJ115*Jahresdaten!$AD$3</f>
        <v>0</v>
      </c>
      <c r="CR115" s="353"/>
      <c r="CS115" s="14"/>
      <c r="CT115" s="136"/>
      <c r="CU115" s="140" t="str">
        <f>IF(CT115=0,"",CT115*'Vergleich Holz Strom'!$B$2)</f>
        <v/>
      </c>
      <c r="CV115" s="353"/>
      <c r="CW115" s="366"/>
      <c r="CX115" s="345"/>
      <c r="CY115" s="345"/>
      <c r="CZ115" s="345"/>
      <c r="DA115" s="348"/>
      <c r="DB115" s="94"/>
      <c r="DC115" s="88">
        <f t="shared" si="281"/>
        <v>18080.011333333343</v>
      </c>
      <c r="DD115" s="94"/>
      <c r="DE115" s="88">
        <f t="shared" si="284"/>
        <v>-13695.112547000001</v>
      </c>
      <c r="DF115" s="100" t="e">
        <f ca="1">BE115+(SUM(CS110:CS121)/12)</f>
        <v>#N/A</v>
      </c>
      <c r="DG115" s="351"/>
      <c r="DH115" s="8">
        <f t="shared" si="290"/>
        <v>0</v>
      </c>
      <c r="DI115" s="123">
        <f t="shared" si="309"/>
        <v>11850</v>
      </c>
      <c r="DJ115" s="2">
        <f t="shared" si="291"/>
        <v>0</v>
      </c>
      <c r="DK115" s="127">
        <f>DK121/12*6</f>
        <v>3900</v>
      </c>
      <c r="DL115" s="2">
        <f t="shared" si="292"/>
        <v>650</v>
      </c>
      <c r="DM115" s="130">
        <f t="shared" si="293"/>
        <v>0</v>
      </c>
      <c r="DN115" s="3">
        <f>DN121/12*6</f>
        <v>1500</v>
      </c>
      <c r="DO115" s="130">
        <f t="shared" si="294"/>
        <v>250</v>
      </c>
      <c r="DP115" s="4">
        <f t="shared" si="295"/>
        <v>0</v>
      </c>
      <c r="DQ115" s="116">
        <f t="shared" si="296"/>
        <v>6450</v>
      </c>
      <c r="DR115" s="116">
        <f t="shared" si="301"/>
        <v>1350</v>
      </c>
    </row>
    <row r="116" spans="1:122" ht="15" customHeight="1" thickBot="1" x14ac:dyDescent="0.2">
      <c r="A116" s="416"/>
      <c r="B116" s="16">
        <v>46844</v>
      </c>
      <c r="C116" s="207">
        <f>'PV-Felder'!$I$5</f>
        <v>2887.3</v>
      </c>
      <c r="D116" s="351"/>
      <c r="E116" s="61">
        <v>0</v>
      </c>
      <c r="F116" s="351"/>
      <c r="G116" s="56" t="e">
        <f t="shared" ca="1" si="171"/>
        <v>#N/A</v>
      </c>
      <c r="H116" s="351"/>
      <c r="I116" s="61">
        <v>0</v>
      </c>
      <c r="J116" s="351"/>
      <c r="K116" s="61">
        <v>0</v>
      </c>
      <c r="L116" s="351"/>
      <c r="M116" s="65">
        <f t="shared" si="190"/>
        <v>0</v>
      </c>
      <c r="N116" s="373"/>
      <c r="O116" s="288"/>
      <c r="P116" s="288"/>
      <c r="Q116" s="286">
        <f t="shared" si="172"/>
        <v>0</v>
      </c>
      <c r="R116" s="334"/>
      <c r="S116" s="61">
        <v>0</v>
      </c>
      <c r="T116" s="376"/>
      <c r="U116" s="61">
        <v>0</v>
      </c>
      <c r="V116" s="342"/>
      <c r="W116" s="61">
        <v>0</v>
      </c>
      <c r="X116" s="342"/>
      <c r="Y116" s="211" t="e">
        <f t="shared" si="272"/>
        <v>#N/A</v>
      </c>
      <c r="Z116" s="370"/>
      <c r="AA116" s="61">
        <v>0</v>
      </c>
      <c r="AB116" s="351"/>
      <c r="AC116" s="61">
        <v>0</v>
      </c>
      <c r="AD116" s="351"/>
      <c r="AE116" s="73" t="e">
        <f t="shared" si="303"/>
        <v>#N/A</v>
      </c>
      <c r="AF116" s="356"/>
      <c r="AG116" s="73" t="e">
        <f t="shared" si="304"/>
        <v>#N/A</v>
      </c>
      <c r="AH116" s="356"/>
      <c r="AI116" s="221">
        <f t="shared" si="297"/>
        <v>29.26</v>
      </c>
      <c r="AJ116" s="78">
        <f t="shared" ref="AJ116:AP116" si="311">AJ115</f>
        <v>0.26750000000000002</v>
      </c>
      <c r="AK116" s="79">
        <f t="shared" si="311"/>
        <v>9.9166666666666661</v>
      </c>
      <c r="AL116" s="80">
        <f t="shared" si="311"/>
        <v>187</v>
      </c>
      <c r="AM116" s="78">
        <f t="shared" si="311"/>
        <v>9.737942583732058E-2</v>
      </c>
      <c r="AN116" s="80">
        <f t="shared" si="311"/>
        <v>143</v>
      </c>
      <c r="AO116" s="78">
        <f t="shared" si="311"/>
        <v>0.21099999999999999</v>
      </c>
      <c r="AP116" s="88">
        <f t="shared" si="311"/>
        <v>12</v>
      </c>
      <c r="AQ116" s="64">
        <f t="shared" si="195"/>
        <v>21.5</v>
      </c>
      <c r="AR116" s="64">
        <f t="shared" si="196"/>
        <v>11.5</v>
      </c>
      <c r="AS116" s="88">
        <f t="shared" si="197"/>
        <v>1.1830000000000001</v>
      </c>
      <c r="AT116" s="91">
        <f t="shared" si="249"/>
        <v>283</v>
      </c>
      <c r="AU116" s="94"/>
      <c r="AV116" s="95"/>
      <c r="AW116" s="56">
        <f t="shared" si="174"/>
        <v>0</v>
      </c>
      <c r="AX116" s="351"/>
      <c r="AY116" s="100">
        <f t="shared" si="201"/>
        <v>9.9166666666666661</v>
      </c>
      <c r="AZ116" s="360"/>
      <c r="BA116" s="91">
        <f t="shared" si="289"/>
        <v>-1065.6958803333321</v>
      </c>
      <c r="BB116" s="5">
        <f t="shared" si="306"/>
        <v>-9.9166666666666661</v>
      </c>
      <c r="BC116" s="363"/>
      <c r="BD116" s="91" t="e">
        <f t="shared" ca="1" si="175"/>
        <v>#N/A</v>
      </c>
      <c r="BE116" s="91" t="e">
        <f t="shared" ca="1" si="176"/>
        <v>#N/A</v>
      </c>
      <c r="BF116" s="91">
        <f t="shared" si="177"/>
        <v>31.833333333333329</v>
      </c>
      <c r="BG116" s="91" t="e">
        <f t="shared" ca="1" si="178"/>
        <v>#N/A</v>
      </c>
      <c r="BH116" s="91" t="e">
        <f t="shared" ca="1" si="221"/>
        <v>#N/A</v>
      </c>
      <c r="BI116" s="10" t="e">
        <f t="shared" ca="1" si="192"/>
        <v>#N/A</v>
      </c>
      <c r="BJ116" s="104">
        <f>((M116+Q116)*AJ116+AK116)+((U116-W116+W116/('Vergleich Holz Strom'!$B$8-0.6))*AO116+AP116)</f>
        <v>21.916666666666664</v>
      </c>
      <c r="BK116" s="10" t="e">
        <f t="shared" ca="1" si="307"/>
        <v>#N/A</v>
      </c>
      <c r="BL116" s="379"/>
      <c r="BM116" s="104" t="e">
        <f t="shared" ca="1" si="188"/>
        <v>#N/A</v>
      </c>
      <c r="BN116" s="40" t="e">
        <f ca="1">IF(ISNUMBER(BK116),BN115+SUMIF(BK110:BK121,"&lt;&gt;#NV",BK110:BK121)/COUNTIF(BK110:BK121,"&lt;&gt;#NV"),#N/A)</f>
        <v>#N/A</v>
      </c>
      <c r="BO116" s="10" t="e">
        <f t="shared" ca="1" si="283"/>
        <v>#N/A</v>
      </c>
      <c r="BP116" s="104" t="e">
        <f t="shared" ca="1" si="308"/>
        <v>#N/A</v>
      </c>
      <c r="BQ116" s="104">
        <f t="shared" ca="1" si="154"/>
        <v>-60952.524769222044</v>
      </c>
      <c r="BR116" s="10">
        <f t="shared" si="179"/>
        <v>9.9166666666666661</v>
      </c>
      <c r="BS116" s="311"/>
      <c r="BT116" s="307"/>
      <c r="BU116" s="295">
        <f t="shared" si="180"/>
        <v>0</v>
      </c>
      <c r="BV116" s="323"/>
      <c r="BW116" s="299">
        <f t="shared" si="181"/>
        <v>0</v>
      </c>
      <c r="BX116" s="295">
        <f t="shared" si="182"/>
        <v>0</v>
      </c>
      <c r="BY116" s="382"/>
      <c r="BZ116" s="299">
        <f t="shared" si="189"/>
        <v>0</v>
      </c>
      <c r="CA116" s="295">
        <f t="shared" si="193"/>
        <v>0</v>
      </c>
      <c r="CB116" s="323"/>
      <c r="CC116" s="314">
        <f t="shared" si="299"/>
        <v>0</v>
      </c>
      <c r="CD116" s="326"/>
      <c r="CE116" s="299">
        <f t="shared" si="183"/>
        <v>0</v>
      </c>
      <c r="CF116" s="284">
        <f t="shared" si="300"/>
        <v>0</v>
      </c>
      <c r="CG116" s="323"/>
      <c r="CH116" s="302">
        <f t="shared" si="217"/>
        <v>0</v>
      </c>
      <c r="CI116" s="108">
        <f t="shared" si="184"/>
        <v>0</v>
      </c>
      <c r="CJ116" s="200">
        <f t="shared" si="185"/>
        <v>0</v>
      </c>
      <c r="CK116" s="197">
        <f t="shared" si="199"/>
        <v>0</v>
      </c>
      <c r="CL116" s="203">
        <f t="shared" si="186"/>
        <v>12</v>
      </c>
      <c r="CM116" s="4">
        <f>U116*Jahresdaten!$AD$2</f>
        <v>0</v>
      </c>
      <c r="CN116" s="112">
        <f>CJ116*Jahresdaten!$AD$2</f>
        <v>0</v>
      </c>
      <c r="CO116" s="366"/>
      <c r="CP116" s="116">
        <f>U116*Jahresdaten!$AD$3</f>
        <v>0</v>
      </c>
      <c r="CQ116" s="12">
        <f>CJ116*Jahresdaten!$AD$3</f>
        <v>0</v>
      </c>
      <c r="CR116" s="353"/>
      <c r="CS116" s="14"/>
      <c r="CT116" s="136"/>
      <c r="CU116" s="140" t="str">
        <f>IF(CT116=0,"",CT116*'Vergleich Holz Strom'!$B$2)</f>
        <v/>
      </c>
      <c r="CV116" s="121" t="s">
        <v>6</v>
      </c>
      <c r="CW116" s="366"/>
      <c r="CX116" s="345"/>
      <c r="CY116" s="345"/>
      <c r="CZ116" s="345"/>
      <c r="DA116" s="348"/>
      <c r="DB116" s="94"/>
      <c r="DC116" s="88">
        <f t="shared" si="281"/>
        <v>18257.094666666675</v>
      </c>
      <c r="DD116" s="94"/>
      <c r="DE116" s="88">
        <f t="shared" si="284"/>
        <v>-13838.112547000001</v>
      </c>
      <c r="DF116" s="100" t="e">
        <f ca="1">BE116+(SUM(CS110:CS121)/12)</f>
        <v>#N/A</v>
      </c>
      <c r="DG116" s="351"/>
      <c r="DH116" s="8">
        <f t="shared" si="290"/>
        <v>0</v>
      </c>
      <c r="DI116" s="123">
        <f t="shared" si="309"/>
        <v>14000</v>
      </c>
      <c r="DJ116" s="2">
        <f t="shared" si="291"/>
        <v>0</v>
      </c>
      <c r="DK116" s="127">
        <f>DK121/12*7</f>
        <v>4550</v>
      </c>
      <c r="DL116" s="2">
        <f t="shared" si="292"/>
        <v>650</v>
      </c>
      <c r="DM116" s="130">
        <f t="shared" si="293"/>
        <v>0</v>
      </c>
      <c r="DN116" s="3">
        <f>DN121/12*7</f>
        <v>1750</v>
      </c>
      <c r="DO116" s="130">
        <f t="shared" si="294"/>
        <v>250</v>
      </c>
      <c r="DP116" s="4">
        <f t="shared" si="295"/>
        <v>0</v>
      </c>
      <c r="DQ116" s="116">
        <f t="shared" si="296"/>
        <v>7700</v>
      </c>
      <c r="DR116" s="116">
        <f t="shared" si="301"/>
        <v>1250</v>
      </c>
    </row>
    <row r="117" spans="1:122" ht="14.25" customHeight="1" thickBot="1" x14ac:dyDescent="0.2">
      <c r="A117" s="416"/>
      <c r="B117" s="16">
        <v>46874</v>
      </c>
      <c r="C117" s="207">
        <f>'PV-Felder'!$I$6</f>
        <v>3391.3999999999996</v>
      </c>
      <c r="D117" s="351"/>
      <c r="E117" s="61">
        <v>0</v>
      </c>
      <c r="F117" s="351"/>
      <c r="G117" s="56" t="e">
        <f t="shared" ca="1" si="171"/>
        <v>#N/A</v>
      </c>
      <c r="H117" s="351"/>
      <c r="I117" s="61">
        <v>0</v>
      </c>
      <c r="J117" s="351"/>
      <c r="K117" s="61">
        <v>0</v>
      </c>
      <c r="L117" s="351"/>
      <c r="M117" s="65">
        <f t="shared" si="190"/>
        <v>0</v>
      </c>
      <c r="N117" s="373"/>
      <c r="O117" s="288"/>
      <c r="P117" s="288"/>
      <c r="Q117" s="286">
        <f t="shared" si="172"/>
        <v>0</v>
      </c>
      <c r="R117" s="334"/>
      <c r="S117" s="61">
        <v>0</v>
      </c>
      <c r="T117" s="376"/>
      <c r="U117" s="61">
        <v>0</v>
      </c>
      <c r="V117" s="342"/>
      <c r="W117" s="61">
        <v>0</v>
      </c>
      <c r="X117" s="342"/>
      <c r="Y117" s="211" t="e">
        <f t="shared" si="272"/>
        <v>#N/A</v>
      </c>
      <c r="Z117" s="370"/>
      <c r="AA117" s="61">
        <v>0</v>
      </c>
      <c r="AB117" s="351"/>
      <c r="AC117" s="61">
        <v>0</v>
      </c>
      <c r="AD117" s="351"/>
      <c r="AE117" s="73" t="e">
        <f t="shared" si="303"/>
        <v>#N/A</v>
      </c>
      <c r="AF117" s="356"/>
      <c r="AG117" s="73" t="e">
        <f t="shared" si="304"/>
        <v>#N/A</v>
      </c>
      <c r="AH117" s="356"/>
      <c r="AI117" s="221">
        <f t="shared" si="297"/>
        <v>29.26</v>
      </c>
      <c r="AJ117" s="78">
        <f t="shared" ref="AJ117:AP117" si="312">AJ116</f>
        <v>0.26750000000000002</v>
      </c>
      <c r="AK117" s="79">
        <f t="shared" si="312"/>
        <v>9.9166666666666661</v>
      </c>
      <c r="AL117" s="80">
        <f t="shared" si="312"/>
        <v>187</v>
      </c>
      <c r="AM117" s="78">
        <f t="shared" si="312"/>
        <v>9.737942583732058E-2</v>
      </c>
      <c r="AN117" s="80">
        <f t="shared" si="312"/>
        <v>143</v>
      </c>
      <c r="AO117" s="78">
        <f t="shared" si="312"/>
        <v>0.21099999999999999</v>
      </c>
      <c r="AP117" s="88">
        <f t="shared" si="312"/>
        <v>12</v>
      </c>
      <c r="AQ117" s="64">
        <f t="shared" si="195"/>
        <v>21.5</v>
      </c>
      <c r="AR117" s="64">
        <f t="shared" si="196"/>
        <v>11.5</v>
      </c>
      <c r="AS117" s="88">
        <f t="shared" si="197"/>
        <v>1.1830000000000001</v>
      </c>
      <c r="AT117" s="91">
        <f t="shared" si="249"/>
        <v>283</v>
      </c>
      <c r="AU117" s="94"/>
      <c r="AV117" s="95"/>
      <c r="AW117" s="56">
        <f t="shared" si="174"/>
        <v>0</v>
      </c>
      <c r="AX117" s="351"/>
      <c r="AY117" s="100">
        <f t="shared" si="201"/>
        <v>9.9166666666666661</v>
      </c>
      <c r="AZ117" s="360"/>
      <c r="BA117" s="91">
        <f t="shared" si="289"/>
        <v>-1075.6125469999988</v>
      </c>
      <c r="BB117" s="5">
        <f t="shared" si="306"/>
        <v>-9.9166666666666661</v>
      </c>
      <c r="BC117" s="363"/>
      <c r="BD117" s="91" t="e">
        <f t="shared" ca="1" si="175"/>
        <v>#N/A</v>
      </c>
      <c r="BE117" s="91" t="e">
        <f t="shared" ca="1" si="176"/>
        <v>#N/A</v>
      </c>
      <c r="BF117" s="91">
        <f t="shared" si="177"/>
        <v>31.833333333333329</v>
      </c>
      <c r="BG117" s="91" t="e">
        <f t="shared" ca="1" si="178"/>
        <v>#N/A</v>
      </c>
      <c r="BH117" s="91" t="e">
        <f t="shared" ca="1" si="221"/>
        <v>#N/A</v>
      </c>
      <c r="BI117" s="10" t="e">
        <f t="shared" ca="1" si="192"/>
        <v>#N/A</v>
      </c>
      <c r="BJ117" s="104">
        <f>((M117+Q117)*AJ117+AK117)+((U117-W117+W117/('Vergleich Holz Strom'!$B$8-0.6))*AO117+AP117)</f>
        <v>21.916666666666664</v>
      </c>
      <c r="BK117" s="10" t="e">
        <f t="shared" ca="1" si="307"/>
        <v>#N/A</v>
      </c>
      <c r="BL117" s="379"/>
      <c r="BM117" s="104" t="e">
        <f t="shared" ca="1" si="188"/>
        <v>#N/A</v>
      </c>
      <c r="BN117" s="40" t="e">
        <f ca="1">IF(ISNUMBER(BK117),BN116+SUMIF(BK110:BK121,"&lt;&gt;#NV",BK110:BK121)/COUNTIF(BK110:BK121,"&lt;&gt;#NV"),#N/A)</f>
        <v>#N/A</v>
      </c>
      <c r="BO117" s="10" t="e">
        <f t="shared" ca="1" si="283"/>
        <v>#N/A</v>
      </c>
      <c r="BP117" s="104" t="e">
        <f t="shared" ca="1" si="308"/>
        <v>#N/A</v>
      </c>
      <c r="BQ117" s="104">
        <f t="shared" ca="1" si="154"/>
        <v>-60933.324769222032</v>
      </c>
      <c r="BR117" s="10">
        <f t="shared" si="179"/>
        <v>9.9166666666666661</v>
      </c>
      <c r="BS117" s="311"/>
      <c r="BT117" s="307"/>
      <c r="BU117" s="295">
        <f t="shared" si="180"/>
        <v>0</v>
      </c>
      <c r="BV117" s="323"/>
      <c r="BW117" s="299">
        <f t="shared" si="181"/>
        <v>0</v>
      </c>
      <c r="BX117" s="295">
        <f t="shared" si="182"/>
        <v>0</v>
      </c>
      <c r="BY117" s="382"/>
      <c r="BZ117" s="299">
        <f t="shared" si="189"/>
        <v>0</v>
      </c>
      <c r="CA117" s="295">
        <f t="shared" si="193"/>
        <v>0</v>
      </c>
      <c r="CB117" s="323"/>
      <c r="CC117" s="314">
        <f t="shared" si="299"/>
        <v>0</v>
      </c>
      <c r="CD117" s="326"/>
      <c r="CE117" s="299">
        <f t="shared" si="183"/>
        <v>0</v>
      </c>
      <c r="CF117" s="284">
        <f t="shared" si="300"/>
        <v>0</v>
      </c>
      <c r="CG117" s="323"/>
      <c r="CH117" s="302">
        <f t="shared" si="217"/>
        <v>0</v>
      </c>
      <c r="CI117" s="108">
        <f t="shared" si="184"/>
        <v>0</v>
      </c>
      <c r="CJ117" s="200">
        <f t="shared" si="185"/>
        <v>0</v>
      </c>
      <c r="CK117" s="197">
        <f t="shared" si="199"/>
        <v>0</v>
      </c>
      <c r="CL117" s="203">
        <f t="shared" si="186"/>
        <v>12</v>
      </c>
      <c r="CM117" s="4">
        <f>U117*Jahresdaten!$AD$2</f>
        <v>0</v>
      </c>
      <c r="CN117" s="112">
        <f>CJ117*Jahresdaten!$AD$2</f>
        <v>0</v>
      </c>
      <c r="CO117" s="366"/>
      <c r="CP117" s="116">
        <f>U117*Jahresdaten!$AD$3</f>
        <v>0</v>
      </c>
      <c r="CQ117" s="12">
        <f>CJ117*Jahresdaten!$AD$3</f>
        <v>0</v>
      </c>
      <c r="CR117" s="353"/>
      <c r="CS117" s="14"/>
      <c r="CT117" s="136"/>
      <c r="CU117" s="140" t="str">
        <f>IF(CT117=0,"",CT117*'Vergleich Holz Strom'!$B$2)</f>
        <v/>
      </c>
      <c r="CV117" s="353">
        <f>SUM(CS110:CS121)</f>
        <v>1169</v>
      </c>
      <c r="CW117" s="366"/>
      <c r="CX117" s="345"/>
      <c r="CY117" s="345"/>
      <c r="CZ117" s="345"/>
      <c r="DA117" s="348"/>
      <c r="DB117" s="94"/>
      <c r="DC117" s="88">
        <f t="shared" si="281"/>
        <v>18434.178000000007</v>
      </c>
      <c r="DD117" s="94"/>
      <c r="DE117" s="88">
        <f t="shared" si="284"/>
        <v>-13981.112547000001</v>
      </c>
      <c r="DF117" s="100" t="e">
        <f ca="1">BE117+(SUM(CS110:CS121)/12)</f>
        <v>#N/A</v>
      </c>
      <c r="DG117" s="351"/>
      <c r="DH117" s="8">
        <f t="shared" si="290"/>
        <v>0</v>
      </c>
      <c r="DI117" s="123">
        <f t="shared" si="309"/>
        <v>16000</v>
      </c>
      <c r="DJ117" s="2">
        <f t="shared" si="291"/>
        <v>0</v>
      </c>
      <c r="DK117" s="127">
        <f>DK121/12*8</f>
        <v>5200</v>
      </c>
      <c r="DL117" s="2">
        <f t="shared" si="292"/>
        <v>650</v>
      </c>
      <c r="DM117" s="130">
        <f t="shared" si="293"/>
        <v>0</v>
      </c>
      <c r="DN117" s="3">
        <f>DN121/12*8</f>
        <v>2000</v>
      </c>
      <c r="DO117" s="130">
        <f t="shared" si="294"/>
        <v>250</v>
      </c>
      <c r="DP117" s="4">
        <f t="shared" si="295"/>
        <v>0</v>
      </c>
      <c r="DQ117" s="116">
        <f t="shared" si="296"/>
        <v>8800</v>
      </c>
      <c r="DR117" s="116">
        <f t="shared" si="301"/>
        <v>1100</v>
      </c>
    </row>
    <row r="118" spans="1:122" ht="14.25" customHeight="1" thickBot="1" x14ac:dyDescent="0.2">
      <c r="A118" s="416"/>
      <c r="B118" s="16">
        <v>46905</v>
      </c>
      <c r="C118" s="207">
        <f>'PV-Felder'!$I$7</f>
        <v>3595.6000000000004</v>
      </c>
      <c r="D118" s="351"/>
      <c r="E118" s="61">
        <v>0</v>
      </c>
      <c r="F118" s="351"/>
      <c r="G118" s="56" t="e">
        <f t="shared" ca="1" si="171"/>
        <v>#N/A</v>
      </c>
      <c r="H118" s="351"/>
      <c r="I118" s="61">
        <v>0</v>
      </c>
      <c r="J118" s="351"/>
      <c r="K118" s="61">
        <v>0</v>
      </c>
      <c r="L118" s="351"/>
      <c r="M118" s="65">
        <f t="shared" si="190"/>
        <v>0</v>
      </c>
      <c r="N118" s="373"/>
      <c r="O118" s="288"/>
      <c r="P118" s="288"/>
      <c r="Q118" s="286">
        <f t="shared" si="172"/>
        <v>0</v>
      </c>
      <c r="R118" s="334"/>
      <c r="S118" s="61">
        <v>0</v>
      </c>
      <c r="T118" s="376"/>
      <c r="U118" s="61">
        <v>0</v>
      </c>
      <c r="V118" s="342"/>
      <c r="W118" s="61">
        <v>0</v>
      </c>
      <c r="X118" s="342"/>
      <c r="Y118" s="211" t="e">
        <f t="shared" si="272"/>
        <v>#N/A</v>
      </c>
      <c r="Z118" s="370"/>
      <c r="AA118" s="61">
        <v>0</v>
      </c>
      <c r="AB118" s="351"/>
      <c r="AC118" s="61">
        <v>0</v>
      </c>
      <c r="AD118" s="351"/>
      <c r="AE118" s="73" t="e">
        <f t="shared" si="303"/>
        <v>#N/A</v>
      </c>
      <c r="AF118" s="356"/>
      <c r="AG118" s="73" t="e">
        <f t="shared" si="304"/>
        <v>#N/A</v>
      </c>
      <c r="AH118" s="356"/>
      <c r="AI118" s="221">
        <f t="shared" si="297"/>
        <v>29.26</v>
      </c>
      <c r="AJ118" s="78">
        <f t="shared" ref="AJ118:AP118" si="313">AJ117</f>
        <v>0.26750000000000002</v>
      </c>
      <c r="AK118" s="79">
        <f t="shared" si="313"/>
        <v>9.9166666666666661</v>
      </c>
      <c r="AL118" s="80">
        <f t="shared" si="313"/>
        <v>187</v>
      </c>
      <c r="AM118" s="78">
        <f t="shared" si="313"/>
        <v>9.737942583732058E-2</v>
      </c>
      <c r="AN118" s="80">
        <f t="shared" si="313"/>
        <v>143</v>
      </c>
      <c r="AO118" s="78">
        <f t="shared" si="313"/>
        <v>0.21099999999999999</v>
      </c>
      <c r="AP118" s="88">
        <f t="shared" si="313"/>
        <v>12</v>
      </c>
      <c r="AQ118" s="64">
        <f t="shared" si="195"/>
        <v>21.5</v>
      </c>
      <c r="AR118" s="64">
        <f t="shared" si="196"/>
        <v>11.5</v>
      </c>
      <c r="AS118" s="88">
        <f t="shared" si="197"/>
        <v>1.1830000000000001</v>
      </c>
      <c r="AT118" s="91">
        <f t="shared" si="249"/>
        <v>283</v>
      </c>
      <c r="AU118" s="94"/>
      <c r="AV118" s="95"/>
      <c r="AW118" s="56">
        <f t="shared" si="174"/>
        <v>0</v>
      </c>
      <c r="AX118" s="351"/>
      <c r="AY118" s="100">
        <f t="shared" si="201"/>
        <v>9.9166666666666661</v>
      </c>
      <c r="AZ118" s="360"/>
      <c r="BA118" s="91">
        <f t="shared" si="289"/>
        <v>-1085.5292136666656</v>
      </c>
      <c r="BB118" s="5">
        <f t="shared" si="306"/>
        <v>-9.9166666666666661</v>
      </c>
      <c r="BC118" s="363"/>
      <c r="BD118" s="91" t="e">
        <f t="shared" ca="1" si="175"/>
        <v>#N/A</v>
      </c>
      <c r="BE118" s="91" t="e">
        <f t="shared" ca="1" si="176"/>
        <v>#N/A</v>
      </c>
      <c r="BF118" s="91">
        <f t="shared" si="177"/>
        <v>31.833333333333329</v>
      </c>
      <c r="BG118" s="91" t="e">
        <f t="shared" ca="1" si="178"/>
        <v>#N/A</v>
      </c>
      <c r="BH118" s="91" t="e">
        <f t="shared" ca="1" si="221"/>
        <v>#N/A</v>
      </c>
      <c r="BI118" s="10" t="e">
        <f t="shared" ca="1" si="192"/>
        <v>#N/A</v>
      </c>
      <c r="BJ118" s="104">
        <f>((M118+Q118)*AJ118+AK118)+((U118-W118+W118/('Vergleich Holz Strom'!$B$8-0.6))*AO118+AP118)</f>
        <v>21.916666666666664</v>
      </c>
      <c r="BK118" s="10" t="e">
        <f t="shared" ca="1" si="307"/>
        <v>#N/A</v>
      </c>
      <c r="BL118" s="379"/>
      <c r="BM118" s="104" t="e">
        <f t="shared" ca="1" si="188"/>
        <v>#N/A</v>
      </c>
      <c r="BN118" s="40" t="e">
        <f ca="1">IF(ISNUMBER(BK118),BN117+SUMIF(BK110:BK121,"&lt;&gt;#NV",BK110:BK121)/COUNTIF(BK110:BK121,"&lt;&gt;#NV"),#N/A)</f>
        <v>#N/A</v>
      </c>
      <c r="BO118" s="10" t="e">
        <f t="shared" ca="1" si="283"/>
        <v>#N/A</v>
      </c>
      <c r="BP118" s="104" t="e">
        <f t="shared" ca="1" si="308"/>
        <v>#N/A</v>
      </c>
      <c r="BQ118" s="104">
        <f t="shared" ca="1" si="154"/>
        <v>-60917.176621073886</v>
      </c>
      <c r="BR118" s="10">
        <f t="shared" si="179"/>
        <v>9.9166666666666661</v>
      </c>
      <c r="BS118" s="311"/>
      <c r="BT118" s="307"/>
      <c r="BU118" s="295">
        <f t="shared" si="180"/>
        <v>0</v>
      </c>
      <c r="BV118" s="323"/>
      <c r="BW118" s="299">
        <f t="shared" si="181"/>
        <v>0</v>
      </c>
      <c r="BX118" s="295">
        <f t="shared" si="182"/>
        <v>0</v>
      </c>
      <c r="BY118" s="382"/>
      <c r="BZ118" s="299">
        <f t="shared" si="189"/>
        <v>0</v>
      </c>
      <c r="CA118" s="295">
        <f t="shared" si="193"/>
        <v>0</v>
      </c>
      <c r="CB118" s="323"/>
      <c r="CC118" s="314">
        <f t="shared" si="299"/>
        <v>0</v>
      </c>
      <c r="CD118" s="326"/>
      <c r="CE118" s="299">
        <f t="shared" si="183"/>
        <v>0</v>
      </c>
      <c r="CF118" s="284">
        <f t="shared" si="300"/>
        <v>0</v>
      </c>
      <c r="CG118" s="323"/>
      <c r="CH118" s="302">
        <f t="shared" si="217"/>
        <v>0</v>
      </c>
      <c r="CI118" s="108">
        <f t="shared" si="184"/>
        <v>0</v>
      </c>
      <c r="CJ118" s="200">
        <f t="shared" si="185"/>
        <v>0</v>
      </c>
      <c r="CK118" s="197">
        <f t="shared" si="199"/>
        <v>0</v>
      </c>
      <c r="CL118" s="203">
        <f t="shared" si="186"/>
        <v>12</v>
      </c>
      <c r="CM118" s="4">
        <f>U118*Jahresdaten!$AD$2</f>
        <v>0</v>
      </c>
      <c r="CN118" s="112">
        <f>CJ118*Jahresdaten!$AD$2</f>
        <v>0</v>
      </c>
      <c r="CO118" s="366"/>
      <c r="CP118" s="116">
        <f>U118*Jahresdaten!$AD$3</f>
        <v>0</v>
      </c>
      <c r="CQ118" s="12">
        <f>CJ118*Jahresdaten!$AD$3</f>
        <v>0</v>
      </c>
      <c r="CR118" s="353"/>
      <c r="CS118" s="14"/>
      <c r="CT118" s="136"/>
      <c r="CU118" s="140" t="str">
        <f>IF(CT118=0,"",CT118*'Vergleich Holz Strom'!$B$2)</f>
        <v/>
      </c>
      <c r="CV118" s="353"/>
      <c r="CW118" s="366"/>
      <c r="CX118" s="345"/>
      <c r="CY118" s="345"/>
      <c r="CZ118" s="345"/>
      <c r="DA118" s="348"/>
      <c r="DB118" s="94"/>
      <c r="DC118" s="88">
        <f t="shared" si="281"/>
        <v>18611.261333333339</v>
      </c>
      <c r="DD118" s="94"/>
      <c r="DE118" s="88">
        <f t="shared" si="284"/>
        <v>-14124.112547000001</v>
      </c>
      <c r="DF118" s="100" t="e">
        <f ca="1">BE118+(SUM(CS110:CS121)/12)</f>
        <v>#N/A</v>
      </c>
      <c r="DG118" s="351"/>
      <c r="DH118" s="8">
        <f t="shared" si="290"/>
        <v>0</v>
      </c>
      <c r="DI118" s="123">
        <f t="shared" si="309"/>
        <v>17200</v>
      </c>
      <c r="DJ118" s="2">
        <f t="shared" si="291"/>
        <v>0</v>
      </c>
      <c r="DK118" s="127">
        <f>DK121/12*9</f>
        <v>5850</v>
      </c>
      <c r="DL118" s="2">
        <f t="shared" si="292"/>
        <v>650</v>
      </c>
      <c r="DM118" s="130">
        <f t="shared" si="293"/>
        <v>0</v>
      </c>
      <c r="DN118" s="3">
        <f>DN121/12*9</f>
        <v>2250</v>
      </c>
      <c r="DO118" s="130">
        <f t="shared" si="294"/>
        <v>250</v>
      </c>
      <c r="DP118" s="4">
        <f t="shared" si="295"/>
        <v>0</v>
      </c>
      <c r="DQ118" s="116">
        <f t="shared" si="296"/>
        <v>9100</v>
      </c>
      <c r="DR118" s="116">
        <f t="shared" si="301"/>
        <v>300</v>
      </c>
    </row>
    <row r="119" spans="1:122" ht="14.25" customHeight="1" thickBot="1" x14ac:dyDescent="0.2">
      <c r="A119" s="416"/>
      <c r="B119" s="16">
        <v>46935</v>
      </c>
      <c r="C119" s="207">
        <f>'PV-Felder'!$I$8</f>
        <v>3593.8</v>
      </c>
      <c r="D119" s="351"/>
      <c r="E119" s="61">
        <v>0</v>
      </c>
      <c r="F119" s="351"/>
      <c r="G119" s="56" t="e">
        <f t="shared" ca="1" si="171"/>
        <v>#N/A</v>
      </c>
      <c r="H119" s="351"/>
      <c r="I119" s="61">
        <v>0</v>
      </c>
      <c r="J119" s="351"/>
      <c r="K119" s="61">
        <v>0</v>
      </c>
      <c r="L119" s="351"/>
      <c r="M119" s="65">
        <f t="shared" si="190"/>
        <v>0</v>
      </c>
      <c r="N119" s="373"/>
      <c r="O119" s="288"/>
      <c r="P119" s="288"/>
      <c r="Q119" s="286">
        <f t="shared" si="172"/>
        <v>0</v>
      </c>
      <c r="R119" s="334"/>
      <c r="S119" s="61">
        <v>0</v>
      </c>
      <c r="T119" s="376"/>
      <c r="U119" s="61">
        <v>0</v>
      </c>
      <c r="V119" s="342"/>
      <c r="W119" s="61">
        <v>0</v>
      </c>
      <c r="X119" s="342"/>
      <c r="Y119" s="211" t="e">
        <f t="shared" si="272"/>
        <v>#N/A</v>
      </c>
      <c r="Z119" s="370"/>
      <c r="AA119" s="61">
        <v>0</v>
      </c>
      <c r="AB119" s="351"/>
      <c r="AC119" s="61">
        <v>0</v>
      </c>
      <c r="AD119" s="351"/>
      <c r="AE119" s="73" t="e">
        <f t="shared" si="303"/>
        <v>#N/A</v>
      </c>
      <c r="AF119" s="356"/>
      <c r="AG119" s="73" t="e">
        <f t="shared" si="304"/>
        <v>#N/A</v>
      </c>
      <c r="AH119" s="356"/>
      <c r="AI119" s="221">
        <f t="shared" si="297"/>
        <v>29.26</v>
      </c>
      <c r="AJ119" s="78">
        <f t="shared" ref="AJ119:AP119" si="314">AJ118</f>
        <v>0.26750000000000002</v>
      </c>
      <c r="AK119" s="79">
        <f t="shared" si="314"/>
        <v>9.9166666666666661</v>
      </c>
      <c r="AL119" s="80">
        <f t="shared" si="314"/>
        <v>187</v>
      </c>
      <c r="AM119" s="78">
        <f t="shared" si="314"/>
        <v>9.737942583732058E-2</v>
      </c>
      <c r="AN119" s="80">
        <f t="shared" si="314"/>
        <v>143</v>
      </c>
      <c r="AO119" s="78">
        <f t="shared" si="314"/>
        <v>0.21099999999999999</v>
      </c>
      <c r="AP119" s="88">
        <f t="shared" si="314"/>
        <v>12</v>
      </c>
      <c r="AQ119" s="64">
        <f t="shared" si="195"/>
        <v>21.5</v>
      </c>
      <c r="AR119" s="64">
        <f t="shared" si="196"/>
        <v>11.5</v>
      </c>
      <c r="AS119" s="88">
        <f t="shared" si="197"/>
        <v>1.1830000000000001</v>
      </c>
      <c r="AT119" s="91">
        <f t="shared" si="249"/>
        <v>283</v>
      </c>
      <c r="AU119" s="94"/>
      <c r="AV119" s="95"/>
      <c r="AW119" s="56">
        <f t="shared" si="174"/>
        <v>0</v>
      </c>
      <c r="AX119" s="351"/>
      <c r="AY119" s="100">
        <f t="shared" si="201"/>
        <v>9.9166666666666661</v>
      </c>
      <c r="AZ119" s="360"/>
      <c r="BA119" s="91">
        <f t="shared" si="289"/>
        <v>-1095.4458803333323</v>
      </c>
      <c r="BB119" s="5">
        <f t="shared" si="306"/>
        <v>-9.9166666666666661</v>
      </c>
      <c r="BC119" s="363"/>
      <c r="BD119" s="91" t="e">
        <f t="shared" ca="1" si="175"/>
        <v>#N/A</v>
      </c>
      <c r="BE119" s="91" t="e">
        <f t="shared" ca="1" si="176"/>
        <v>#N/A</v>
      </c>
      <c r="BF119" s="91">
        <f t="shared" si="177"/>
        <v>31.833333333333329</v>
      </c>
      <c r="BG119" s="91" t="e">
        <f t="shared" ca="1" si="178"/>
        <v>#N/A</v>
      </c>
      <c r="BH119" s="91" t="e">
        <f t="shared" ca="1" si="221"/>
        <v>#N/A</v>
      </c>
      <c r="BI119" s="10" t="e">
        <f t="shared" ca="1" si="192"/>
        <v>#N/A</v>
      </c>
      <c r="BJ119" s="104">
        <f>((M119+Q119)*AJ119+AK119)+((U119-W119+W119/('Vergleich Holz Strom'!$B$8-0.6))*AO119+AP119)</f>
        <v>21.916666666666664</v>
      </c>
      <c r="BK119" s="10" t="e">
        <f t="shared" ca="1" si="307"/>
        <v>#N/A</v>
      </c>
      <c r="BL119" s="379"/>
      <c r="BM119" s="104" t="e">
        <f t="shared" ca="1" si="188"/>
        <v>#N/A</v>
      </c>
      <c r="BN119" s="40" t="e">
        <f ca="1">IF(ISNUMBER(BK119),BN118+SUMIF(BK110:BK121,"&lt;&gt;#NV",BK110:BK121)/COUNTIF(BK110:BK121,"&lt;&gt;#NV"),#N/A)</f>
        <v>#N/A</v>
      </c>
      <c r="BO119" s="10" t="e">
        <f ca="1">BK119+AT119+AU119</f>
        <v>#N/A</v>
      </c>
      <c r="BP119" s="104" t="e">
        <f t="shared" ca="1" si="308"/>
        <v>#N/A</v>
      </c>
      <c r="BQ119" s="104">
        <f t="shared" ca="1" si="154"/>
        <v>-60901.02847292574</v>
      </c>
      <c r="BR119" s="10">
        <f t="shared" si="179"/>
        <v>9.9166666666666661</v>
      </c>
      <c r="BS119" s="311"/>
      <c r="BT119" s="307"/>
      <c r="BU119" s="295">
        <f t="shared" si="180"/>
        <v>0</v>
      </c>
      <c r="BV119" s="323"/>
      <c r="BW119" s="299">
        <f t="shared" si="181"/>
        <v>0</v>
      </c>
      <c r="BX119" s="295">
        <f t="shared" si="182"/>
        <v>0</v>
      </c>
      <c r="BY119" s="382"/>
      <c r="BZ119" s="299">
        <f t="shared" si="189"/>
        <v>0</v>
      </c>
      <c r="CA119" s="295">
        <f t="shared" si="193"/>
        <v>0</v>
      </c>
      <c r="CB119" s="323"/>
      <c r="CC119" s="314">
        <f t="shared" si="299"/>
        <v>0</v>
      </c>
      <c r="CD119" s="326"/>
      <c r="CE119" s="299">
        <f t="shared" si="183"/>
        <v>0</v>
      </c>
      <c r="CF119" s="284">
        <f t="shared" si="300"/>
        <v>0</v>
      </c>
      <c r="CG119" s="323"/>
      <c r="CH119" s="302">
        <f t="shared" si="217"/>
        <v>0</v>
      </c>
      <c r="CI119" s="108">
        <f t="shared" si="184"/>
        <v>0</v>
      </c>
      <c r="CJ119" s="200">
        <f t="shared" si="185"/>
        <v>0</v>
      </c>
      <c r="CK119" s="197">
        <f t="shared" si="199"/>
        <v>0</v>
      </c>
      <c r="CL119" s="203">
        <f t="shared" si="186"/>
        <v>12</v>
      </c>
      <c r="CM119" s="4">
        <f>U119*Jahresdaten!$AD$2</f>
        <v>0</v>
      </c>
      <c r="CN119" s="112">
        <f>CJ119*Jahresdaten!$AD$2</f>
        <v>0</v>
      </c>
      <c r="CO119" s="366"/>
      <c r="CP119" s="116">
        <f>U119*Jahresdaten!$AD$3</f>
        <v>0</v>
      </c>
      <c r="CQ119" s="12">
        <f>CJ119*Jahresdaten!$AD$3</f>
        <v>0</v>
      </c>
      <c r="CR119" s="353"/>
      <c r="CS119" s="14"/>
      <c r="CT119" s="136"/>
      <c r="CU119" s="140" t="str">
        <f>IF(CT119=0,"",CT119*'Vergleich Holz Strom'!$B$2)</f>
        <v/>
      </c>
      <c r="CV119" s="353"/>
      <c r="CW119" s="366"/>
      <c r="CX119" s="345"/>
      <c r="CY119" s="345"/>
      <c r="CZ119" s="345"/>
      <c r="DA119" s="348"/>
      <c r="DB119" s="94"/>
      <c r="DC119" s="88">
        <f t="shared" si="281"/>
        <v>18788.344666666671</v>
      </c>
      <c r="DD119" s="94"/>
      <c r="DE119" s="88">
        <f t="shared" si="284"/>
        <v>-14267.112547000001</v>
      </c>
      <c r="DF119" s="100" t="e">
        <f ca="1">BE119+(SUM(CS110:CS121)/12)</f>
        <v>#N/A</v>
      </c>
      <c r="DG119" s="351"/>
      <c r="DH119" s="8">
        <f t="shared" si="290"/>
        <v>0</v>
      </c>
      <c r="DI119" s="123">
        <f t="shared" si="309"/>
        <v>18250</v>
      </c>
      <c r="DJ119" s="2">
        <f t="shared" si="291"/>
        <v>0</v>
      </c>
      <c r="DK119" s="127">
        <f>DK121/12*10</f>
        <v>6500</v>
      </c>
      <c r="DL119" s="2">
        <f t="shared" si="292"/>
        <v>650</v>
      </c>
      <c r="DM119" s="130">
        <f t="shared" si="293"/>
        <v>0</v>
      </c>
      <c r="DN119" s="3">
        <f>DN121/12*10</f>
        <v>2500</v>
      </c>
      <c r="DO119" s="130">
        <f t="shared" si="294"/>
        <v>250</v>
      </c>
      <c r="DP119" s="4">
        <f t="shared" si="295"/>
        <v>0</v>
      </c>
      <c r="DQ119" s="116">
        <f t="shared" si="296"/>
        <v>9250</v>
      </c>
      <c r="DR119" s="116">
        <f t="shared" si="301"/>
        <v>150</v>
      </c>
    </row>
    <row r="120" spans="1:122" ht="14.25" customHeight="1" thickBot="1" x14ac:dyDescent="0.2">
      <c r="A120" s="416"/>
      <c r="B120" s="16">
        <v>46966</v>
      </c>
      <c r="C120" s="207">
        <f>'PV-Felder'!$I$9</f>
        <v>3065.7</v>
      </c>
      <c r="D120" s="351"/>
      <c r="E120" s="61">
        <v>0</v>
      </c>
      <c r="F120" s="351"/>
      <c r="G120" s="56" t="e">
        <f t="shared" ca="1" si="171"/>
        <v>#N/A</v>
      </c>
      <c r="H120" s="351"/>
      <c r="I120" s="61">
        <v>0</v>
      </c>
      <c r="J120" s="351"/>
      <c r="K120" s="61">
        <v>0</v>
      </c>
      <c r="L120" s="351"/>
      <c r="M120" s="65">
        <f t="shared" si="190"/>
        <v>0</v>
      </c>
      <c r="N120" s="373"/>
      <c r="O120" s="288"/>
      <c r="P120" s="288"/>
      <c r="Q120" s="286">
        <f t="shared" si="172"/>
        <v>0</v>
      </c>
      <c r="R120" s="334"/>
      <c r="S120" s="61">
        <v>0</v>
      </c>
      <c r="T120" s="376"/>
      <c r="U120" s="61">
        <v>0</v>
      </c>
      <c r="V120" s="342"/>
      <c r="W120" s="61">
        <v>0</v>
      </c>
      <c r="X120" s="342"/>
      <c r="Y120" s="211" t="e">
        <f t="shared" si="272"/>
        <v>#N/A</v>
      </c>
      <c r="Z120" s="370"/>
      <c r="AA120" s="61">
        <v>0</v>
      </c>
      <c r="AB120" s="351"/>
      <c r="AC120" s="61">
        <v>0</v>
      </c>
      <c r="AD120" s="351"/>
      <c r="AE120" s="73" t="e">
        <f t="shared" si="303"/>
        <v>#N/A</v>
      </c>
      <c r="AF120" s="356"/>
      <c r="AG120" s="73" t="e">
        <f t="shared" si="304"/>
        <v>#N/A</v>
      </c>
      <c r="AH120" s="356"/>
      <c r="AI120" s="221">
        <f t="shared" si="297"/>
        <v>29.26</v>
      </c>
      <c r="AJ120" s="78">
        <f t="shared" ref="AJ120:AP120" si="315">AJ119</f>
        <v>0.26750000000000002</v>
      </c>
      <c r="AK120" s="79">
        <f t="shared" si="315"/>
        <v>9.9166666666666661</v>
      </c>
      <c r="AL120" s="80">
        <f t="shared" si="315"/>
        <v>187</v>
      </c>
      <c r="AM120" s="78">
        <f t="shared" si="315"/>
        <v>9.737942583732058E-2</v>
      </c>
      <c r="AN120" s="80">
        <f t="shared" si="315"/>
        <v>143</v>
      </c>
      <c r="AO120" s="78">
        <f t="shared" si="315"/>
        <v>0.21099999999999999</v>
      </c>
      <c r="AP120" s="88">
        <f t="shared" si="315"/>
        <v>12</v>
      </c>
      <c r="AQ120" s="64">
        <f t="shared" si="195"/>
        <v>21.5</v>
      </c>
      <c r="AR120" s="64">
        <f t="shared" si="196"/>
        <v>11.5</v>
      </c>
      <c r="AS120" s="88">
        <f t="shared" si="197"/>
        <v>1.1830000000000001</v>
      </c>
      <c r="AT120" s="91">
        <f t="shared" si="249"/>
        <v>283</v>
      </c>
      <c r="AU120" s="94"/>
      <c r="AV120" s="95"/>
      <c r="AW120" s="56">
        <f t="shared" si="174"/>
        <v>0</v>
      </c>
      <c r="AX120" s="351"/>
      <c r="AY120" s="100">
        <f t="shared" si="201"/>
        <v>9.9166666666666661</v>
      </c>
      <c r="AZ120" s="360"/>
      <c r="BA120" s="91">
        <f t="shared" si="289"/>
        <v>-1105.362546999999</v>
      </c>
      <c r="BB120" s="5">
        <f t="shared" si="306"/>
        <v>-9.9166666666666661</v>
      </c>
      <c r="BC120" s="363"/>
      <c r="BD120" s="91" t="e">
        <f t="shared" ca="1" si="175"/>
        <v>#N/A</v>
      </c>
      <c r="BE120" s="91" t="e">
        <f t="shared" ca="1" si="176"/>
        <v>#N/A</v>
      </c>
      <c r="BF120" s="91">
        <f t="shared" si="177"/>
        <v>31.833333333333329</v>
      </c>
      <c r="BG120" s="91" t="e">
        <f t="shared" ca="1" si="178"/>
        <v>#N/A</v>
      </c>
      <c r="BH120" s="91" t="e">
        <f t="shared" ca="1" si="221"/>
        <v>#N/A</v>
      </c>
      <c r="BI120" s="10" t="e">
        <f t="shared" ca="1" si="192"/>
        <v>#N/A</v>
      </c>
      <c r="BJ120" s="104">
        <f>((M120+Q120)*AJ120+AK120)+((U120-W120+W120/('Vergleich Holz Strom'!$B$8-0.6))*AO120+AP120)</f>
        <v>21.916666666666664</v>
      </c>
      <c r="BK120" s="10" t="e">
        <f t="shared" ca="1" si="307"/>
        <v>#N/A</v>
      </c>
      <c r="BL120" s="379"/>
      <c r="BM120" s="104" t="e">
        <f t="shared" ca="1" si="188"/>
        <v>#N/A</v>
      </c>
      <c r="BN120" s="40" t="e">
        <f ca="1">IF(ISNUMBER(BK120),BN119+SUMIF(BK110:BK121,"&lt;&gt;#NV",BK110:BK121)/COUNTIF(BK110:BK121,"&lt;&gt;#NV"),#N/A)</f>
        <v>#N/A</v>
      </c>
      <c r="BO120" s="10" t="e">
        <f t="shared" ref="BO120:BO130" ca="1" si="316">BK120+AT120+AU120</f>
        <v>#N/A</v>
      </c>
      <c r="BP120" s="104" t="e">
        <f t="shared" ca="1" si="308"/>
        <v>#N/A</v>
      </c>
      <c r="BQ120" s="104">
        <f t="shared" ca="1" si="154"/>
        <v>-60884.880324777594</v>
      </c>
      <c r="BR120" s="10">
        <f t="shared" si="179"/>
        <v>9.9166666666666661</v>
      </c>
      <c r="BS120" s="311"/>
      <c r="BT120" s="307"/>
      <c r="BU120" s="295">
        <f t="shared" si="180"/>
        <v>0</v>
      </c>
      <c r="BV120" s="323"/>
      <c r="BW120" s="299">
        <f t="shared" si="181"/>
        <v>0</v>
      </c>
      <c r="BX120" s="295">
        <f t="shared" si="182"/>
        <v>0</v>
      </c>
      <c r="BY120" s="382"/>
      <c r="BZ120" s="299">
        <f t="shared" si="189"/>
        <v>0</v>
      </c>
      <c r="CA120" s="295">
        <f t="shared" si="193"/>
        <v>0</v>
      </c>
      <c r="CB120" s="323"/>
      <c r="CC120" s="314">
        <f t="shared" si="299"/>
        <v>0</v>
      </c>
      <c r="CD120" s="326"/>
      <c r="CE120" s="299">
        <f t="shared" si="183"/>
        <v>0</v>
      </c>
      <c r="CF120" s="284">
        <f t="shared" si="300"/>
        <v>0</v>
      </c>
      <c r="CG120" s="323"/>
      <c r="CH120" s="302">
        <f t="shared" si="217"/>
        <v>0</v>
      </c>
      <c r="CI120" s="108">
        <f t="shared" si="184"/>
        <v>0</v>
      </c>
      <c r="CJ120" s="200">
        <f t="shared" si="185"/>
        <v>0</v>
      </c>
      <c r="CK120" s="197">
        <f t="shared" si="199"/>
        <v>0</v>
      </c>
      <c r="CL120" s="203">
        <f t="shared" si="186"/>
        <v>12</v>
      </c>
      <c r="CM120" s="4">
        <f>U120*Jahresdaten!$AD$2</f>
        <v>0</v>
      </c>
      <c r="CN120" s="112">
        <f>CJ120*Jahresdaten!$AD$2</f>
        <v>0</v>
      </c>
      <c r="CO120" s="366"/>
      <c r="CP120" s="116">
        <f>U120*Jahresdaten!$AD$3</f>
        <v>0</v>
      </c>
      <c r="CQ120" s="12">
        <f>CJ120*Jahresdaten!$AD$3</f>
        <v>0</v>
      </c>
      <c r="CR120" s="353"/>
      <c r="CS120" s="14"/>
      <c r="CT120" s="136"/>
      <c r="CU120" s="140" t="str">
        <f>IF(CT120=0,"",CT120*'Vergleich Holz Strom'!$B$2)</f>
        <v/>
      </c>
      <c r="CV120" s="353"/>
      <c r="CW120" s="366"/>
      <c r="CX120" s="345"/>
      <c r="CY120" s="345"/>
      <c r="CZ120" s="345"/>
      <c r="DA120" s="348"/>
      <c r="DB120" s="94"/>
      <c r="DC120" s="88">
        <f t="shared" si="281"/>
        <v>18965.428000000004</v>
      </c>
      <c r="DD120" s="94"/>
      <c r="DE120" s="88">
        <f t="shared" si="284"/>
        <v>-14410.112547000001</v>
      </c>
      <c r="DF120" s="100" t="e">
        <f ca="1">BE120+(SUM(CS110:CS121)/12)</f>
        <v>#N/A</v>
      </c>
      <c r="DG120" s="351"/>
      <c r="DH120" s="8">
        <f t="shared" si="290"/>
        <v>0</v>
      </c>
      <c r="DI120" s="123">
        <f t="shared" si="309"/>
        <v>19300</v>
      </c>
      <c r="DJ120" s="2">
        <f t="shared" si="291"/>
        <v>0</v>
      </c>
      <c r="DK120" s="127">
        <f>DK121/12*11</f>
        <v>7150</v>
      </c>
      <c r="DL120" s="2">
        <f t="shared" si="292"/>
        <v>650</v>
      </c>
      <c r="DM120" s="130">
        <f t="shared" si="293"/>
        <v>0</v>
      </c>
      <c r="DN120" s="3">
        <f>DN121/12*11</f>
        <v>2750</v>
      </c>
      <c r="DO120" s="130">
        <f t="shared" si="294"/>
        <v>250</v>
      </c>
      <c r="DP120" s="4">
        <f t="shared" si="295"/>
        <v>0</v>
      </c>
      <c r="DQ120" s="116">
        <f t="shared" si="296"/>
        <v>9400</v>
      </c>
      <c r="DR120" s="116">
        <f t="shared" si="301"/>
        <v>150</v>
      </c>
    </row>
    <row r="121" spans="1:122" s="28" customFormat="1" ht="15" customHeight="1" thickBot="1" x14ac:dyDescent="0.2">
      <c r="A121" s="417"/>
      <c r="B121" s="18">
        <v>46997</v>
      </c>
      <c r="C121" s="208">
        <f>'PV-Felder'!$I$10</f>
        <v>2246.7000000000003</v>
      </c>
      <c r="D121" s="352"/>
      <c r="E121" s="63">
        <v>0</v>
      </c>
      <c r="F121" s="352"/>
      <c r="G121" s="57" t="e">
        <f t="shared" ca="1" si="171"/>
        <v>#N/A</v>
      </c>
      <c r="H121" s="352"/>
      <c r="I121" s="63">
        <v>0</v>
      </c>
      <c r="J121" s="352"/>
      <c r="K121" s="63">
        <v>0</v>
      </c>
      <c r="L121" s="352"/>
      <c r="M121" s="67">
        <f t="shared" si="190"/>
        <v>0</v>
      </c>
      <c r="N121" s="374"/>
      <c r="O121" s="290"/>
      <c r="P121" s="290"/>
      <c r="Q121" s="289">
        <f t="shared" si="172"/>
        <v>0</v>
      </c>
      <c r="R121" s="334"/>
      <c r="S121" s="63">
        <v>0</v>
      </c>
      <c r="T121" s="377"/>
      <c r="U121" s="63">
        <v>0</v>
      </c>
      <c r="V121" s="343"/>
      <c r="W121" s="63">
        <v>0</v>
      </c>
      <c r="X121" s="343"/>
      <c r="Y121" s="213" t="e">
        <f t="shared" si="272"/>
        <v>#N/A</v>
      </c>
      <c r="Z121" s="371"/>
      <c r="AA121" s="63">
        <v>0</v>
      </c>
      <c r="AB121" s="352"/>
      <c r="AC121" s="63">
        <v>0</v>
      </c>
      <c r="AD121" s="352"/>
      <c r="AE121" s="75" t="e">
        <f t="shared" si="303"/>
        <v>#N/A</v>
      </c>
      <c r="AF121" s="357"/>
      <c r="AG121" s="75" t="e">
        <f t="shared" si="304"/>
        <v>#N/A</v>
      </c>
      <c r="AH121" s="357"/>
      <c r="AI121" s="223">
        <f>AI120</f>
        <v>29.26</v>
      </c>
      <c r="AJ121" s="83">
        <f t="shared" ref="AJ121:AP121" si="317">AJ120</f>
        <v>0.26750000000000002</v>
      </c>
      <c r="AK121" s="21">
        <f t="shared" si="317"/>
        <v>9.9166666666666661</v>
      </c>
      <c r="AL121" s="84">
        <f t="shared" si="317"/>
        <v>187</v>
      </c>
      <c r="AM121" s="83">
        <f t="shared" si="317"/>
        <v>9.737942583732058E-2</v>
      </c>
      <c r="AN121" s="84">
        <f t="shared" si="317"/>
        <v>143</v>
      </c>
      <c r="AO121" s="83">
        <f t="shared" si="317"/>
        <v>0.21099999999999999</v>
      </c>
      <c r="AP121" s="90">
        <f t="shared" si="317"/>
        <v>12</v>
      </c>
      <c r="AQ121" s="125">
        <f t="shared" si="195"/>
        <v>21.5</v>
      </c>
      <c r="AR121" s="125">
        <f t="shared" si="196"/>
        <v>11.5</v>
      </c>
      <c r="AS121" s="92">
        <f t="shared" si="197"/>
        <v>1.1830000000000001</v>
      </c>
      <c r="AT121" s="92">
        <f t="shared" si="249"/>
        <v>283</v>
      </c>
      <c r="AU121" s="98"/>
      <c r="AV121" s="99"/>
      <c r="AW121" s="57">
        <f t="shared" si="174"/>
        <v>0</v>
      </c>
      <c r="AX121" s="352"/>
      <c r="AY121" s="102">
        <f t="shared" si="201"/>
        <v>9.9166666666666661</v>
      </c>
      <c r="AZ121" s="361"/>
      <c r="BA121" s="92">
        <f t="shared" si="289"/>
        <v>-1115.2792136666658</v>
      </c>
      <c r="BB121" s="22">
        <f t="shared" si="306"/>
        <v>-9.9166666666666661</v>
      </c>
      <c r="BC121" s="364"/>
      <c r="BD121" s="92" t="e">
        <f t="shared" ca="1" si="175"/>
        <v>#N/A</v>
      </c>
      <c r="BE121" s="92" t="e">
        <f t="shared" ca="1" si="176"/>
        <v>#N/A</v>
      </c>
      <c r="BF121" s="92">
        <f t="shared" si="177"/>
        <v>31.833333333333329</v>
      </c>
      <c r="BG121" s="92" t="e">
        <f t="shared" ca="1" si="178"/>
        <v>#N/A</v>
      </c>
      <c r="BH121" s="92" t="e">
        <f t="shared" ca="1" si="221"/>
        <v>#N/A</v>
      </c>
      <c r="BI121" s="24" t="e">
        <f t="shared" ca="1" si="192"/>
        <v>#N/A</v>
      </c>
      <c r="BJ121" s="106">
        <f>((M121+Q121)*AJ121+AK121)+((U121-W121+W121/('Vergleich Holz Strom'!$B$8-0.6))*AO121+AP121)</f>
        <v>21.916666666666664</v>
      </c>
      <c r="BK121" s="24" t="e">
        <f t="shared" ca="1" si="307"/>
        <v>#N/A</v>
      </c>
      <c r="BL121" s="380"/>
      <c r="BM121" s="106" t="e">
        <f t="shared" ca="1" si="188"/>
        <v>#N/A</v>
      </c>
      <c r="BN121" s="226" t="e">
        <f ca="1">IF(ISNUMBER(BK121),BN120+SUMIF(BK110:BK121,"&lt;&gt;#NV",BK110:BK121)/COUNTIF(BK110:BK121,"&lt;&gt;#NV"),#N/A)</f>
        <v>#N/A</v>
      </c>
      <c r="BO121" s="318" t="e">
        <f t="shared" ca="1" si="316"/>
        <v>#N/A</v>
      </c>
      <c r="BP121" s="106" t="e">
        <f t="shared" ca="1" si="308"/>
        <v>#N/A</v>
      </c>
      <c r="BQ121" s="106">
        <f t="shared" ca="1" si="154"/>
        <v>-60868.732176629448</v>
      </c>
      <c r="BR121" s="24">
        <f t="shared" si="179"/>
        <v>9.9166666666666661</v>
      </c>
      <c r="BS121" s="312"/>
      <c r="BT121" s="308"/>
      <c r="BU121" s="296">
        <f t="shared" si="180"/>
        <v>0</v>
      </c>
      <c r="BV121" s="324"/>
      <c r="BW121" s="292">
        <f t="shared" si="181"/>
        <v>0</v>
      </c>
      <c r="BX121" s="295">
        <f t="shared" si="182"/>
        <v>0</v>
      </c>
      <c r="BY121" s="382"/>
      <c r="BZ121" s="299">
        <f t="shared" si="189"/>
        <v>0</v>
      </c>
      <c r="CA121" s="296">
        <f t="shared" si="193"/>
        <v>0</v>
      </c>
      <c r="CB121" s="324"/>
      <c r="CC121" s="315">
        <f t="shared" si="299"/>
        <v>0</v>
      </c>
      <c r="CD121" s="327"/>
      <c r="CE121" s="292">
        <f t="shared" si="183"/>
        <v>0</v>
      </c>
      <c r="CF121" s="296">
        <f t="shared" si="300"/>
        <v>0</v>
      </c>
      <c r="CG121" s="324"/>
      <c r="CH121" s="303">
        <f t="shared" si="217"/>
        <v>0</v>
      </c>
      <c r="CI121" s="110">
        <f t="shared" si="184"/>
        <v>0</v>
      </c>
      <c r="CJ121" s="200">
        <f t="shared" si="185"/>
        <v>0</v>
      </c>
      <c r="CK121" s="25">
        <f t="shared" si="199"/>
        <v>0</v>
      </c>
      <c r="CL121" s="204">
        <f t="shared" si="186"/>
        <v>12</v>
      </c>
      <c r="CM121" s="26">
        <f>U121*Jahresdaten!$AD$2</f>
        <v>0</v>
      </c>
      <c r="CN121" s="114">
        <f>CJ121*Jahresdaten!$AD$2</f>
        <v>0</v>
      </c>
      <c r="CO121" s="346"/>
      <c r="CP121" s="118">
        <f>U121*Jahresdaten!$AD$3</f>
        <v>0</v>
      </c>
      <c r="CQ121" s="25">
        <f>CJ121*Jahresdaten!$AD$3</f>
        <v>0</v>
      </c>
      <c r="CR121" s="354"/>
      <c r="CS121" s="23"/>
      <c r="CT121" s="138"/>
      <c r="CU121" s="141" t="str">
        <f>IF(CT121=0,"",CT121*'Vergleich Holz Strom'!$B$2)</f>
        <v/>
      </c>
      <c r="CV121" s="354"/>
      <c r="CW121" s="346"/>
      <c r="CX121" s="346"/>
      <c r="CY121" s="346"/>
      <c r="CZ121" s="346"/>
      <c r="DA121" s="349"/>
      <c r="DB121" s="98"/>
      <c r="DC121" s="90">
        <f t="shared" si="281"/>
        <v>19142.511333333336</v>
      </c>
      <c r="DD121" s="98"/>
      <c r="DE121" s="90">
        <f t="shared" si="284"/>
        <v>-14553.112547000001</v>
      </c>
      <c r="DF121" s="102" t="e">
        <f ca="1">BE121+(SUM(CS110:CS121)/12)</f>
        <v>#N/A</v>
      </c>
      <c r="DG121" s="352"/>
      <c r="DH121" s="19">
        <f t="shared" si="290"/>
        <v>0</v>
      </c>
      <c r="DI121" s="125">
        <f t="shared" si="309"/>
        <v>20800</v>
      </c>
      <c r="DJ121" s="20">
        <f t="shared" si="291"/>
        <v>0</v>
      </c>
      <c r="DK121" s="129">
        <f>DK109</f>
        <v>7800</v>
      </c>
      <c r="DL121" s="20">
        <f t="shared" si="292"/>
        <v>650</v>
      </c>
      <c r="DM121" s="132">
        <f t="shared" si="293"/>
        <v>0</v>
      </c>
      <c r="DN121" s="27">
        <f>DN109</f>
        <v>3000</v>
      </c>
      <c r="DO121" s="132">
        <f t="shared" si="294"/>
        <v>250</v>
      </c>
      <c r="DP121" s="26">
        <f t="shared" si="295"/>
        <v>0</v>
      </c>
      <c r="DQ121" s="118">
        <f>DQ109</f>
        <v>10000</v>
      </c>
      <c r="DR121" s="118">
        <f>DR109</f>
        <v>600</v>
      </c>
    </row>
    <row r="122" spans="1:122" ht="15" customHeight="1" thickBot="1" x14ac:dyDescent="0.2">
      <c r="A122" s="415" t="s">
        <v>168</v>
      </c>
      <c r="B122" s="16">
        <v>47027</v>
      </c>
      <c r="C122" s="207">
        <f>'PV-Felder'!$I$11</f>
        <v>1416.7</v>
      </c>
      <c r="D122" s="358">
        <f>SUMIF(E122:E133,"&gt;0",C122:C133)</f>
        <v>0</v>
      </c>
      <c r="E122" s="61">
        <v>0</v>
      </c>
      <c r="F122" s="368">
        <f>SUM(E122:E133)</f>
        <v>0</v>
      </c>
      <c r="G122" s="58" t="e">
        <f t="shared" ca="1" si="171"/>
        <v>#N/A</v>
      </c>
      <c r="H122" s="358" t="e">
        <f ca="1">IF(TODAY()&lt;B122,#N/A,F122-D122)</f>
        <v>#N/A</v>
      </c>
      <c r="I122" s="61">
        <v>0</v>
      </c>
      <c r="J122" s="368">
        <f>SUM(I122:I133)</f>
        <v>0</v>
      </c>
      <c r="K122" s="61">
        <v>0</v>
      </c>
      <c r="L122" s="368">
        <f>SUM(K122:K133)</f>
        <v>0</v>
      </c>
      <c r="M122" s="66">
        <f t="shared" si="190"/>
        <v>0</v>
      </c>
      <c r="N122" s="372">
        <f>SUM(M122:M133)</f>
        <v>0</v>
      </c>
      <c r="Q122" s="287">
        <f t="shared" si="172"/>
        <v>0</v>
      </c>
      <c r="R122" s="333">
        <f>SUM(Q122:Q133)</f>
        <v>0</v>
      </c>
      <c r="S122" s="61">
        <v>0</v>
      </c>
      <c r="T122" s="375">
        <f>SUM(S122:S133)</f>
        <v>0</v>
      </c>
      <c r="U122" s="61">
        <v>0</v>
      </c>
      <c r="V122" s="341">
        <f>SUM(U122:U133)</f>
        <v>0</v>
      </c>
      <c r="W122" s="61">
        <v>0</v>
      </c>
      <c r="X122" s="341">
        <f>SUM(W122:W133)</f>
        <v>0</v>
      </c>
      <c r="Y122" s="211" t="e">
        <f t="shared" si="272"/>
        <v>#N/A</v>
      </c>
      <c r="Z122" s="369">
        <f>N122+T122+V122</f>
        <v>0</v>
      </c>
      <c r="AA122" s="62">
        <v>0</v>
      </c>
      <c r="AB122" s="368">
        <f>SUM(AA122:AA133)</f>
        <v>0</v>
      </c>
      <c r="AC122" s="62">
        <v>0</v>
      </c>
      <c r="AD122" s="368">
        <f>SUM(AC122:AC133)</f>
        <v>0</v>
      </c>
      <c r="AE122" s="74" t="e">
        <f t="shared" si="303"/>
        <v>#N/A</v>
      </c>
      <c r="AF122" s="355" t="e">
        <f>IF(SUMIF(AE122:AE133,"&gt;0")&gt;0,SUMIF(AE122:AE133,"&gt;0")/COUNTIF(AE122:AE133,"&gt;0"),#N/A)</f>
        <v>#N/A</v>
      </c>
      <c r="AG122" s="73" t="e">
        <f t="shared" si="304"/>
        <v>#N/A</v>
      </c>
      <c r="AH122" s="355" t="e">
        <f>IF(SUMIF(AG122:AG133,"&gt;0")&gt;0,SUMIF(AG122:AG133,"&gt;0")/COUNTIF(AG122:AG133,"&gt;0"),#N/A)</f>
        <v>#N/A</v>
      </c>
      <c r="AI122" s="222">
        <f>AI121</f>
        <v>29.26</v>
      </c>
      <c r="AJ122" s="78">
        <f t="shared" ref="AJ122:AP122" si="318">AJ121</f>
        <v>0.26750000000000002</v>
      </c>
      <c r="AK122" s="79">
        <f t="shared" si="318"/>
        <v>9.9166666666666661</v>
      </c>
      <c r="AL122" s="80">
        <f t="shared" si="318"/>
        <v>187</v>
      </c>
      <c r="AM122" s="78">
        <f t="shared" si="318"/>
        <v>9.737942583732058E-2</v>
      </c>
      <c r="AN122" s="80">
        <f t="shared" si="318"/>
        <v>143</v>
      </c>
      <c r="AO122" s="78">
        <f t="shared" si="318"/>
        <v>0.21099999999999999</v>
      </c>
      <c r="AP122" s="88">
        <f t="shared" si="318"/>
        <v>12</v>
      </c>
      <c r="AQ122" s="64">
        <f t="shared" si="195"/>
        <v>21.5</v>
      </c>
      <c r="AR122" s="64">
        <f t="shared" si="196"/>
        <v>11.5</v>
      </c>
      <c r="AS122" s="88">
        <f t="shared" si="197"/>
        <v>1.1830000000000001</v>
      </c>
      <c r="AT122" s="91">
        <f t="shared" si="249"/>
        <v>283</v>
      </c>
      <c r="AU122" s="94"/>
      <c r="AV122" s="95"/>
      <c r="AW122" s="56">
        <f t="shared" si="174"/>
        <v>0</v>
      </c>
      <c r="AX122" s="358">
        <f>SUM(AW122:AW133)</f>
        <v>0</v>
      </c>
      <c r="AY122" s="100">
        <f t="shared" si="201"/>
        <v>9.9166666666666661</v>
      </c>
      <c r="AZ122" s="359">
        <f>SUM(AY122:AY133)</f>
        <v>119.00000000000001</v>
      </c>
      <c r="BA122" s="103">
        <f>BA121-AY122</f>
        <v>-1125.1958803333325</v>
      </c>
      <c r="BB122" s="5">
        <f t="shared" si="306"/>
        <v>-9.9166666666666661</v>
      </c>
      <c r="BC122" s="362">
        <f>SUM(AY122:AY133)/12</f>
        <v>9.9166666666666679</v>
      </c>
      <c r="BD122" s="91" t="e">
        <f t="shared" ca="1" si="175"/>
        <v>#N/A</v>
      </c>
      <c r="BE122" s="91" t="e">
        <f t="shared" ca="1" si="176"/>
        <v>#N/A</v>
      </c>
      <c r="BF122" s="91">
        <f t="shared" si="177"/>
        <v>31.833333333333329</v>
      </c>
      <c r="BG122" s="91" t="e">
        <f t="shared" ca="1" si="178"/>
        <v>#N/A</v>
      </c>
      <c r="BH122" s="91" t="e">
        <f t="shared" ca="1" si="221"/>
        <v>#N/A</v>
      </c>
      <c r="BI122" s="10" t="e">
        <f t="shared" ca="1" si="192"/>
        <v>#N/A</v>
      </c>
      <c r="BJ122" s="104">
        <f>((M122+Q122)*AJ122+AK122)+((U122-W122+W122/('Vergleich Holz Strom'!$B$8-0.6))*AO122+AP122)</f>
        <v>21.916666666666664</v>
      </c>
      <c r="BK122" s="10" t="e">
        <f t="shared" ca="1" si="307"/>
        <v>#N/A</v>
      </c>
      <c r="BL122" s="378">
        <f ca="1">SUMIF(BK122:BK133,"&lt;&gt;#NV",BK122:BK133)</f>
        <v>0</v>
      </c>
      <c r="BM122" s="104" t="e">
        <f t="shared" ca="1" si="188"/>
        <v>#N/A</v>
      </c>
      <c r="BN122" s="40" t="e">
        <f ca="1">IF(ISNUMBER(BK122),BN121+SUMIF(BK122:BK133,"&lt;&gt;#NV",BK122:BK133)/COUNTIF(BK122:BK133,"&lt;&gt;#NV"),#N/A)</f>
        <v>#N/A</v>
      </c>
      <c r="BO122" s="10" t="e">
        <f t="shared" ca="1" si="316"/>
        <v>#N/A</v>
      </c>
      <c r="BP122" s="105" t="e">
        <f t="shared" ca="1" si="308"/>
        <v>#N/A</v>
      </c>
      <c r="BQ122" s="104">
        <f t="shared" ref="BQ122:BQ185" ca="1" si="319">IF(B123&lt;=TODAY(),BP122,IF(E122=0,BQ121+((BQ86-BQ85+BQ98-BQ97+BQ110-BQ109)/3),BP122))</f>
        <v>-60856.732176629448</v>
      </c>
      <c r="BR122" s="10">
        <f t="shared" si="179"/>
        <v>9.9166666666666661</v>
      </c>
      <c r="BS122" s="311"/>
      <c r="BT122" s="307"/>
      <c r="BU122" s="295">
        <f t="shared" si="180"/>
        <v>0</v>
      </c>
      <c r="BV122" s="322">
        <f>SUM(BU122:BU133)</f>
        <v>0</v>
      </c>
      <c r="BW122" s="300">
        <f t="shared" si="181"/>
        <v>0</v>
      </c>
      <c r="BX122" s="305">
        <f t="shared" si="182"/>
        <v>0</v>
      </c>
      <c r="BY122" s="381">
        <f>SUM(BX122:BX133)</f>
        <v>0</v>
      </c>
      <c r="BZ122" s="300">
        <f t="shared" si="189"/>
        <v>0</v>
      </c>
      <c r="CA122" s="295">
        <f t="shared" si="193"/>
        <v>0</v>
      </c>
      <c r="CB122" s="322">
        <f>SUM(CA122:CA133)</f>
        <v>0</v>
      </c>
      <c r="CC122" s="314">
        <f t="shared" si="299"/>
        <v>0</v>
      </c>
      <c r="CD122" s="325">
        <f>SUM(CC122:CC133)</f>
        <v>0</v>
      </c>
      <c r="CE122" s="299">
        <f t="shared" si="183"/>
        <v>0</v>
      </c>
      <c r="CF122" s="284">
        <f t="shared" si="300"/>
        <v>0</v>
      </c>
      <c r="CG122" s="328">
        <f>SUM(CF122:CF133)</f>
        <v>0</v>
      </c>
      <c r="CH122" s="302">
        <f t="shared" si="217"/>
        <v>0</v>
      </c>
      <c r="CI122" s="108">
        <f t="shared" si="184"/>
        <v>0</v>
      </c>
      <c r="CJ122" s="201">
        <f t="shared" si="185"/>
        <v>0</v>
      </c>
      <c r="CK122" s="197">
        <f t="shared" si="199"/>
        <v>0</v>
      </c>
      <c r="CL122" s="203">
        <f t="shared" si="186"/>
        <v>12</v>
      </c>
      <c r="CM122" s="4">
        <f>U122*Jahresdaten!$AD$2</f>
        <v>0</v>
      </c>
      <c r="CN122" s="112">
        <f>CJ122*Jahresdaten!$AD$2</f>
        <v>0</v>
      </c>
      <c r="CO122" s="365">
        <f>CW122*Jahresdaten!$AD$2</f>
        <v>856.59076092206669</v>
      </c>
      <c r="CP122" s="116">
        <f>U122*Jahresdaten!$AD$3</f>
        <v>0</v>
      </c>
      <c r="CQ122" s="12">
        <f>CJ122*Jahresdaten!$AD$3</f>
        <v>0</v>
      </c>
      <c r="CR122" s="367">
        <f>CW122*Jahresdaten!$AD$3</f>
        <v>312.40923907793319</v>
      </c>
      <c r="CS122" s="14">
        <f>CS110</f>
        <v>1169</v>
      </c>
      <c r="CT122" s="136">
        <f>CT110</f>
        <v>12</v>
      </c>
      <c r="CU122" s="140">
        <f>IF(CT122=0,"",CT122*'Vergleich Holz Strom'!$B$2)</f>
        <v>25800</v>
      </c>
      <c r="CV122" s="120" t="s">
        <v>7</v>
      </c>
      <c r="CW122" s="365">
        <f>CV123+CV129</f>
        <v>1169</v>
      </c>
      <c r="CX122" s="344">
        <f>SUM(CS122:CS133)/SUM(CU122:CU133)*(SUM(CU122:CU133)+(V122*('Vergleich Holz Strom'!$B$8-0.6)/'Vergleich Holz Strom'!$E$6))</f>
        <v>1169</v>
      </c>
      <c r="CY122" s="344">
        <f>SUM(CU122:CU133)*'Vergleich Holz Strom'!$E$6/('Vergleich Holz Strom'!$B$8-0.6)*(SUM(AJ122:AJ133)/12)+CV123</f>
        <v>1420.8970588235295</v>
      </c>
      <c r="CZ122" s="344">
        <f>SUM(CU122:CU133)*'Vergleich Holz Strom'!$E$6/('Vergleich Holz Strom'!$B$8-0.6)*SUM(AM122:AM133)/12+SUM(CK122:CK133)</f>
        <v>517.25659724176774</v>
      </c>
      <c r="DA122" s="347">
        <f>SUM(CU122:CU133)*'Vergleich Holz Strom'!$E$6/('Vergleich Holz Strom'!$B$8-0.6)*(SUM(AO122:AO133)/12)+SUM(CL122:CL133)</f>
        <v>1264.7823529411764</v>
      </c>
      <c r="DB122" s="94"/>
      <c r="DC122" s="88">
        <f t="shared" si="281"/>
        <v>19319.594666666668</v>
      </c>
      <c r="DD122" s="94"/>
      <c r="DE122" s="88">
        <f t="shared" si="284"/>
        <v>-14696.112547000001</v>
      </c>
      <c r="DF122" s="100" t="e">
        <f ca="1">BE122+(SUM(CS122:CS133)/12)</f>
        <v>#N/A</v>
      </c>
      <c r="DG122" s="350">
        <f ca="1">SUMIF(DF122:DF133,"&gt;0")</f>
        <v>0</v>
      </c>
      <c r="DH122" s="8">
        <f>M122+S122+U122</f>
        <v>0</v>
      </c>
      <c r="DI122" s="123">
        <f t="shared" si="309"/>
        <v>1850</v>
      </c>
      <c r="DJ122" s="2">
        <f>M122</f>
        <v>0</v>
      </c>
      <c r="DK122" s="127">
        <f>DK133/12*1</f>
        <v>650</v>
      </c>
      <c r="DL122" s="2">
        <f>DL121</f>
        <v>650</v>
      </c>
      <c r="DM122" s="130">
        <f>S122</f>
        <v>0</v>
      </c>
      <c r="DN122" s="3">
        <f>DN133/12*1</f>
        <v>250</v>
      </c>
      <c r="DO122" s="130">
        <f>DO121</f>
        <v>250</v>
      </c>
      <c r="DP122" s="4">
        <f>U122</f>
        <v>0</v>
      </c>
      <c r="DQ122" s="116">
        <f>DR122</f>
        <v>950</v>
      </c>
      <c r="DR122" s="116">
        <f>DR110</f>
        <v>950</v>
      </c>
    </row>
    <row r="123" spans="1:122" ht="14.25" customHeight="1" thickBot="1" x14ac:dyDescent="0.2">
      <c r="A123" s="416"/>
      <c r="B123" s="16">
        <v>47058</v>
      </c>
      <c r="C123" s="207">
        <f>'PV-Felder'!$I$12</f>
        <v>739.6</v>
      </c>
      <c r="D123" s="351"/>
      <c r="E123" s="61">
        <v>0</v>
      </c>
      <c r="F123" s="351"/>
      <c r="G123" s="56" t="e">
        <f t="shared" ca="1" si="171"/>
        <v>#N/A</v>
      </c>
      <c r="H123" s="351"/>
      <c r="I123" s="61">
        <v>0</v>
      </c>
      <c r="J123" s="351"/>
      <c r="K123" s="61">
        <v>0</v>
      </c>
      <c r="L123" s="351"/>
      <c r="M123" s="65">
        <f t="shared" si="190"/>
        <v>0</v>
      </c>
      <c r="N123" s="373"/>
      <c r="O123" s="288"/>
      <c r="P123" s="288"/>
      <c r="Q123" s="286">
        <f t="shared" si="172"/>
        <v>0</v>
      </c>
      <c r="R123" s="334"/>
      <c r="S123" s="61">
        <v>0</v>
      </c>
      <c r="T123" s="376"/>
      <c r="U123" s="61">
        <v>0</v>
      </c>
      <c r="V123" s="342"/>
      <c r="W123" s="61">
        <v>0</v>
      </c>
      <c r="X123" s="342"/>
      <c r="Y123" s="211" t="e">
        <f t="shared" si="272"/>
        <v>#N/A</v>
      </c>
      <c r="Z123" s="370"/>
      <c r="AA123" s="61">
        <v>0</v>
      </c>
      <c r="AB123" s="351"/>
      <c r="AC123" s="61">
        <v>0</v>
      </c>
      <c r="AD123" s="351"/>
      <c r="AE123" s="73" t="e">
        <f t="shared" si="303"/>
        <v>#N/A</v>
      </c>
      <c r="AF123" s="356"/>
      <c r="AG123" s="73" t="e">
        <f t="shared" si="304"/>
        <v>#N/A</v>
      </c>
      <c r="AH123" s="356"/>
      <c r="AI123" s="221">
        <f>AI122</f>
        <v>29.26</v>
      </c>
      <c r="AJ123" s="78">
        <f t="shared" ref="AJ123:AN123" si="320">AJ122</f>
        <v>0.26750000000000002</v>
      </c>
      <c r="AK123" s="79">
        <f t="shared" si="320"/>
        <v>9.9166666666666661</v>
      </c>
      <c r="AL123" s="80">
        <f t="shared" si="320"/>
        <v>187</v>
      </c>
      <c r="AM123" s="78">
        <f t="shared" si="320"/>
        <v>9.737942583732058E-2</v>
      </c>
      <c r="AN123" s="80">
        <f t="shared" si="320"/>
        <v>143</v>
      </c>
      <c r="AO123" s="78">
        <f>AO122</f>
        <v>0.21099999999999999</v>
      </c>
      <c r="AP123" s="88">
        <f>AP122</f>
        <v>12</v>
      </c>
      <c r="AQ123" s="64">
        <f t="shared" si="195"/>
        <v>21.5</v>
      </c>
      <c r="AR123" s="64">
        <f t="shared" si="196"/>
        <v>11.5</v>
      </c>
      <c r="AS123" s="88">
        <f t="shared" si="197"/>
        <v>1.1830000000000001</v>
      </c>
      <c r="AT123" s="91">
        <f t="shared" si="249"/>
        <v>283</v>
      </c>
      <c r="AU123" s="94"/>
      <c r="AV123" s="95"/>
      <c r="AW123" s="56">
        <f t="shared" si="174"/>
        <v>0</v>
      </c>
      <c r="AX123" s="351"/>
      <c r="AY123" s="100">
        <f t="shared" si="201"/>
        <v>9.9166666666666661</v>
      </c>
      <c r="AZ123" s="360"/>
      <c r="BA123" s="91">
        <f t="shared" ref="BA123:BA133" si="321">BA122-AY123</f>
        <v>-1135.1125469999993</v>
      </c>
      <c r="BB123" s="5">
        <f t="shared" si="306"/>
        <v>-9.9166666666666661</v>
      </c>
      <c r="BC123" s="363"/>
      <c r="BD123" s="91" t="e">
        <f t="shared" ca="1" si="175"/>
        <v>#N/A</v>
      </c>
      <c r="BE123" s="91" t="e">
        <f t="shared" ca="1" si="176"/>
        <v>#N/A</v>
      </c>
      <c r="BF123" s="91">
        <f t="shared" si="177"/>
        <v>31.833333333333329</v>
      </c>
      <c r="BG123" s="91" t="e">
        <f t="shared" ca="1" si="178"/>
        <v>#N/A</v>
      </c>
      <c r="BH123" s="91" t="e">
        <f t="shared" ca="1" si="221"/>
        <v>#N/A</v>
      </c>
      <c r="BI123" s="10" t="e">
        <f t="shared" ca="1" si="192"/>
        <v>#N/A</v>
      </c>
      <c r="BJ123" s="104">
        <f>((M123+Q123)*AJ123+AK123)+((U123-W123+W123/('Vergleich Holz Strom'!$B$8-0.6))*AO123+AP123)</f>
        <v>21.916666666666664</v>
      </c>
      <c r="BK123" s="10" t="e">
        <f t="shared" ca="1" si="307"/>
        <v>#N/A</v>
      </c>
      <c r="BL123" s="379"/>
      <c r="BM123" s="104" t="e">
        <f t="shared" ca="1" si="188"/>
        <v>#N/A</v>
      </c>
      <c r="BN123" s="40" t="e">
        <f ca="1">IF(ISNUMBER(BK123),BN122+SUMIF(BK122:BK133,"&lt;&gt;#NV",BK122:BK133)/COUNTIF(BK122:BK133,"&lt;&gt;#NV"),#N/A)</f>
        <v>#N/A</v>
      </c>
      <c r="BO123" s="10" t="e">
        <f t="shared" ca="1" si="316"/>
        <v>#N/A</v>
      </c>
      <c r="BP123" s="104" t="e">
        <f t="shared" ca="1" si="308"/>
        <v>#N/A</v>
      </c>
      <c r="BQ123" s="104">
        <f t="shared" ca="1" si="319"/>
        <v>-60844.732176629448</v>
      </c>
      <c r="BR123" s="10">
        <f t="shared" si="179"/>
        <v>9.9166666666666661</v>
      </c>
      <c r="BS123" s="311"/>
      <c r="BT123" s="307"/>
      <c r="BU123" s="295">
        <f t="shared" si="180"/>
        <v>0</v>
      </c>
      <c r="BV123" s="323"/>
      <c r="BW123" s="299">
        <f t="shared" si="181"/>
        <v>0</v>
      </c>
      <c r="BX123" s="295">
        <f t="shared" si="182"/>
        <v>0</v>
      </c>
      <c r="BY123" s="382"/>
      <c r="BZ123" s="299">
        <f t="shared" si="189"/>
        <v>0</v>
      </c>
      <c r="CA123" s="295">
        <f t="shared" si="193"/>
        <v>0</v>
      </c>
      <c r="CB123" s="323"/>
      <c r="CC123" s="314">
        <f>Q123/AQ123*100+BS123/AQ123*100</f>
        <v>0</v>
      </c>
      <c r="CD123" s="326"/>
      <c r="CE123" s="299">
        <f t="shared" si="183"/>
        <v>0</v>
      </c>
      <c r="CF123" s="284">
        <f>CE123-CA123</f>
        <v>0</v>
      </c>
      <c r="CG123" s="323"/>
      <c r="CH123" s="302">
        <f t="shared" si="217"/>
        <v>0</v>
      </c>
      <c r="CI123" s="108">
        <f t="shared" si="184"/>
        <v>0</v>
      </c>
      <c r="CJ123" s="200">
        <f t="shared" si="185"/>
        <v>0</v>
      </c>
      <c r="CK123" s="197">
        <f t="shared" si="199"/>
        <v>0</v>
      </c>
      <c r="CL123" s="203">
        <f t="shared" si="186"/>
        <v>12</v>
      </c>
      <c r="CM123" s="4">
        <f>U123*Jahresdaten!$AD$2</f>
        <v>0</v>
      </c>
      <c r="CN123" s="112">
        <f>CJ123*Jahresdaten!$AD$2</f>
        <v>0</v>
      </c>
      <c r="CO123" s="366"/>
      <c r="CP123" s="116">
        <f>U123*Jahresdaten!$AD$3</f>
        <v>0</v>
      </c>
      <c r="CQ123" s="12">
        <f>CJ123*Jahresdaten!$AD$3</f>
        <v>0</v>
      </c>
      <c r="CR123" s="353"/>
      <c r="CS123" s="14"/>
      <c r="CT123" s="136"/>
      <c r="CU123" s="140" t="str">
        <f>IF(CT123=0,"",CT123*'Vergleich Holz Strom'!$B$2)</f>
        <v/>
      </c>
      <c r="CV123" s="353">
        <f>SUM(CJ122:CJ133)</f>
        <v>0</v>
      </c>
      <c r="CW123" s="366"/>
      <c r="CX123" s="345"/>
      <c r="CY123" s="345"/>
      <c r="CZ123" s="345"/>
      <c r="DA123" s="348"/>
      <c r="DB123" s="94"/>
      <c r="DC123" s="88">
        <f t="shared" si="281"/>
        <v>19496.678</v>
      </c>
      <c r="DD123" s="94"/>
      <c r="DE123" s="88">
        <f t="shared" si="284"/>
        <v>-14839.112547000001</v>
      </c>
      <c r="DF123" s="100" t="e">
        <f ca="1">BE123+(SUM(CS122:CS133)/12)</f>
        <v>#N/A</v>
      </c>
      <c r="DG123" s="351"/>
      <c r="DH123" s="8">
        <f t="shared" ref="DH123:DH133" si="322">DH122+M123+S123+U123</f>
        <v>0</v>
      </c>
      <c r="DI123" s="123">
        <f t="shared" si="309"/>
        <v>3550</v>
      </c>
      <c r="DJ123" s="2">
        <f t="shared" ref="DJ123:DJ133" si="323">DJ122+M123</f>
        <v>0</v>
      </c>
      <c r="DK123" s="127">
        <f>DK133/12*2</f>
        <v>1300</v>
      </c>
      <c r="DL123" s="2">
        <f t="shared" ref="DL123:DL133" si="324">DL122</f>
        <v>650</v>
      </c>
      <c r="DM123" s="130">
        <f t="shared" ref="DM123:DM133" si="325">DM122+S123</f>
        <v>0</v>
      </c>
      <c r="DN123" s="3">
        <f>DN133/12*2</f>
        <v>500</v>
      </c>
      <c r="DO123" s="130">
        <f t="shared" ref="DO123:DO133" si="326">DO122</f>
        <v>250</v>
      </c>
      <c r="DP123" s="4">
        <f t="shared" ref="DP123:DP133" si="327">DP122+U123</f>
        <v>0</v>
      </c>
      <c r="DQ123" s="116">
        <f t="shared" ref="DQ123:DQ132" si="328">DQ122+DR123</f>
        <v>1750</v>
      </c>
      <c r="DR123" s="116">
        <f>DR111</f>
        <v>800</v>
      </c>
    </row>
    <row r="124" spans="1:122" ht="14.25" customHeight="1" thickBot="1" x14ac:dyDescent="0.2">
      <c r="A124" s="416"/>
      <c r="B124" s="16">
        <v>47088</v>
      </c>
      <c r="C124" s="207">
        <f>'PV-Felder'!$I$13</f>
        <v>559.9</v>
      </c>
      <c r="D124" s="351"/>
      <c r="E124" s="61">
        <v>0</v>
      </c>
      <c r="F124" s="351"/>
      <c r="G124" s="56" t="e">
        <f t="shared" ca="1" si="171"/>
        <v>#N/A</v>
      </c>
      <c r="H124" s="351"/>
      <c r="I124" s="61">
        <v>0</v>
      </c>
      <c r="J124" s="351"/>
      <c r="K124" s="61">
        <v>0</v>
      </c>
      <c r="L124" s="351"/>
      <c r="M124" s="65">
        <f t="shared" si="190"/>
        <v>0</v>
      </c>
      <c r="N124" s="373"/>
      <c r="O124" s="288"/>
      <c r="P124" s="288"/>
      <c r="Q124" s="286">
        <f t="shared" si="172"/>
        <v>0</v>
      </c>
      <c r="R124" s="334"/>
      <c r="S124" s="61">
        <v>0</v>
      </c>
      <c r="T124" s="376"/>
      <c r="U124" s="61">
        <v>0</v>
      </c>
      <c r="V124" s="342"/>
      <c r="W124" s="61">
        <v>0</v>
      </c>
      <c r="X124" s="342"/>
      <c r="Y124" s="211" t="e">
        <f t="shared" si="272"/>
        <v>#N/A</v>
      </c>
      <c r="Z124" s="370"/>
      <c r="AA124" s="61">
        <v>0</v>
      </c>
      <c r="AB124" s="351"/>
      <c r="AC124" s="61">
        <v>0</v>
      </c>
      <c r="AD124" s="351"/>
      <c r="AE124" s="73" t="e">
        <f t="shared" si="303"/>
        <v>#N/A</v>
      </c>
      <c r="AF124" s="356"/>
      <c r="AG124" s="73" t="e">
        <f t="shared" si="304"/>
        <v>#N/A</v>
      </c>
      <c r="AH124" s="356"/>
      <c r="AI124" s="221">
        <f t="shared" ref="AI124:AI132" si="329">AI123</f>
        <v>29.26</v>
      </c>
      <c r="AJ124" s="78">
        <f t="shared" ref="AJ124:AN124" si="330">AJ123</f>
        <v>0.26750000000000002</v>
      </c>
      <c r="AK124" s="79">
        <f t="shared" si="330"/>
        <v>9.9166666666666661</v>
      </c>
      <c r="AL124" s="80">
        <f t="shared" si="330"/>
        <v>187</v>
      </c>
      <c r="AM124" s="78">
        <f t="shared" si="330"/>
        <v>9.737942583732058E-2</v>
      </c>
      <c r="AN124" s="80">
        <f t="shared" si="330"/>
        <v>143</v>
      </c>
      <c r="AO124" s="78">
        <f>AO123</f>
        <v>0.21099999999999999</v>
      </c>
      <c r="AP124" s="88">
        <f>AP123</f>
        <v>12</v>
      </c>
      <c r="AQ124" s="64">
        <f t="shared" si="195"/>
        <v>21.5</v>
      </c>
      <c r="AR124" s="64">
        <f t="shared" si="196"/>
        <v>11.5</v>
      </c>
      <c r="AS124" s="88">
        <f t="shared" si="197"/>
        <v>1.1830000000000001</v>
      </c>
      <c r="AT124" s="91">
        <f t="shared" si="249"/>
        <v>283</v>
      </c>
      <c r="AU124" s="94"/>
      <c r="AV124" s="95"/>
      <c r="AW124" s="56">
        <f t="shared" si="174"/>
        <v>0</v>
      </c>
      <c r="AX124" s="351"/>
      <c r="AY124" s="100">
        <f t="shared" si="201"/>
        <v>9.9166666666666661</v>
      </c>
      <c r="AZ124" s="360"/>
      <c r="BA124" s="91">
        <f t="shared" si="321"/>
        <v>-1145.029213666666</v>
      </c>
      <c r="BB124" s="5">
        <f t="shared" si="306"/>
        <v>-9.9166666666666661</v>
      </c>
      <c r="BC124" s="363"/>
      <c r="BD124" s="91" t="e">
        <f t="shared" ca="1" si="175"/>
        <v>#N/A</v>
      </c>
      <c r="BE124" s="91" t="e">
        <f t="shared" ca="1" si="176"/>
        <v>#N/A</v>
      </c>
      <c r="BF124" s="91">
        <f t="shared" si="177"/>
        <v>31.833333333333329</v>
      </c>
      <c r="BG124" s="91" t="e">
        <f t="shared" ca="1" si="178"/>
        <v>#N/A</v>
      </c>
      <c r="BH124" s="91" t="e">
        <f t="shared" ca="1" si="221"/>
        <v>#N/A</v>
      </c>
      <c r="BI124" s="10" t="e">
        <f t="shared" ca="1" si="192"/>
        <v>#N/A</v>
      </c>
      <c r="BJ124" s="104">
        <f>((M124+Q124)*AJ124+AK124)+((U124-W124+W124/('Vergleich Holz Strom'!$B$8-0.6))*AO124+AP124)</f>
        <v>21.916666666666664</v>
      </c>
      <c r="BK124" s="10" t="e">
        <f t="shared" ca="1" si="307"/>
        <v>#N/A</v>
      </c>
      <c r="BL124" s="379"/>
      <c r="BM124" s="104" t="e">
        <f t="shared" ca="1" si="188"/>
        <v>#N/A</v>
      </c>
      <c r="BN124" s="40" t="e">
        <f ca="1">IF(ISNUMBER(BK124),BN123+SUMIF(BK122:BK133,"&lt;&gt;#NV",BK122:BK133)/COUNTIF(BK122:BK133,"&lt;&gt;#NV"),#N/A)</f>
        <v>#N/A</v>
      </c>
      <c r="BO124" s="10" t="e">
        <f t="shared" ca="1" si="316"/>
        <v>#N/A</v>
      </c>
      <c r="BP124" s="104" t="e">
        <f t="shared" ca="1" si="308"/>
        <v>#N/A</v>
      </c>
      <c r="BQ124" s="104">
        <f t="shared" ca="1" si="319"/>
        <v>-60832.732176629448</v>
      </c>
      <c r="BR124" s="10">
        <f t="shared" si="179"/>
        <v>9.9166666666666661</v>
      </c>
      <c r="BS124" s="311"/>
      <c r="BT124" s="307"/>
      <c r="BU124" s="295">
        <f t="shared" si="180"/>
        <v>0</v>
      </c>
      <c r="BV124" s="323"/>
      <c r="BW124" s="299">
        <f t="shared" si="181"/>
        <v>0</v>
      </c>
      <c r="BX124" s="295">
        <f t="shared" si="182"/>
        <v>0</v>
      </c>
      <c r="BY124" s="382"/>
      <c r="BZ124" s="299">
        <f t="shared" si="189"/>
        <v>0</v>
      </c>
      <c r="CA124" s="295">
        <f t="shared" si="193"/>
        <v>0</v>
      </c>
      <c r="CB124" s="323"/>
      <c r="CC124" s="314">
        <f t="shared" ref="CC124:CC134" si="331">Q124/AQ124*100+BS124/AQ124*100</f>
        <v>0</v>
      </c>
      <c r="CD124" s="326"/>
      <c r="CE124" s="299">
        <f t="shared" si="183"/>
        <v>0</v>
      </c>
      <c r="CF124" s="284">
        <f t="shared" ref="CF124:CF134" si="332">CE124-CA124</f>
        <v>0</v>
      </c>
      <c r="CG124" s="323"/>
      <c r="CH124" s="302">
        <f t="shared" si="217"/>
        <v>0</v>
      </c>
      <c r="CI124" s="108">
        <f t="shared" si="184"/>
        <v>0</v>
      </c>
      <c r="CJ124" s="200">
        <f t="shared" si="185"/>
        <v>0</v>
      </c>
      <c r="CK124" s="197">
        <f t="shared" si="199"/>
        <v>0</v>
      </c>
      <c r="CL124" s="203">
        <f t="shared" si="186"/>
        <v>12</v>
      </c>
      <c r="CM124" s="4">
        <f>U124*Jahresdaten!$AD$2</f>
        <v>0</v>
      </c>
      <c r="CN124" s="112">
        <f>CJ124*Jahresdaten!$AD$2</f>
        <v>0</v>
      </c>
      <c r="CO124" s="366"/>
      <c r="CP124" s="116">
        <f>U124*Jahresdaten!$AD$3</f>
        <v>0</v>
      </c>
      <c r="CQ124" s="12">
        <f>CJ124*Jahresdaten!$AD$3</f>
        <v>0</v>
      </c>
      <c r="CR124" s="353"/>
      <c r="CS124" s="14"/>
      <c r="CT124" s="136"/>
      <c r="CU124" s="140" t="str">
        <f>IF(CT124=0,"",CT124*'Vergleich Holz Strom'!$B$2)</f>
        <v/>
      </c>
      <c r="CV124" s="353"/>
      <c r="CW124" s="366"/>
      <c r="CX124" s="345"/>
      <c r="CY124" s="345"/>
      <c r="CZ124" s="345"/>
      <c r="DA124" s="348"/>
      <c r="DB124" s="94"/>
      <c r="DC124" s="88">
        <f t="shared" si="281"/>
        <v>19673.761333333332</v>
      </c>
      <c r="DD124" s="94"/>
      <c r="DE124" s="88">
        <f t="shared" si="284"/>
        <v>-14982.112547000001</v>
      </c>
      <c r="DF124" s="100" t="e">
        <f ca="1">BE124+(SUM(CS122:CS133)/12)</f>
        <v>#N/A</v>
      </c>
      <c r="DG124" s="351"/>
      <c r="DH124" s="8">
        <f t="shared" si="322"/>
        <v>0</v>
      </c>
      <c r="DI124" s="123">
        <f t="shared" si="309"/>
        <v>5300</v>
      </c>
      <c r="DJ124" s="2">
        <f t="shared" si="323"/>
        <v>0</v>
      </c>
      <c r="DK124" s="127">
        <f>DK133/12*3</f>
        <v>1950</v>
      </c>
      <c r="DL124" s="2">
        <f t="shared" si="324"/>
        <v>650</v>
      </c>
      <c r="DM124" s="130">
        <f t="shared" si="325"/>
        <v>0</v>
      </c>
      <c r="DN124" s="3">
        <f>DN133/12*3</f>
        <v>750</v>
      </c>
      <c r="DO124" s="130">
        <f t="shared" si="326"/>
        <v>250</v>
      </c>
      <c r="DP124" s="4">
        <f t="shared" si="327"/>
        <v>0</v>
      </c>
      <c r="DQ124" s="116">
        <f t="shared" si="328"/>
        <v>2600</v>
      </c>
      <c r="DR124" s="116">
        <f t="shared" ref="DR124:DR132" si="333">DR112</f>
        <v>850.00000000000011</v>
      </c>
    </row>
    <row r="125" spans="1:122" ht="14.25" customHeight="1" thickBot="1" x14ac:dyDescent="0.2">
      <c r="A125" s="416"/>
      <c r="B125" s="16">
        <v>47119</v>
      </c>
      <c r="C125" s="207">
        <f>'PV-Felder'!$I$2</f>
        <v>660.80000000000007</v>
      </c>
      <c r="D125" s="351"/>
      <c r="E125" s="61">
        <v>0</v>
      </c>
      <c r="F125" s="351"/>
      <c r="G125" s="56" t="e">
        <f t="shared" ca="1" si="171"/>
        <v>#N/A</v>
      </c>
      <c r="H125" s="351"/>
      <c r="I125" s="61">
        <v>0</v>
      </c>
      <c r="J125" s="351"/>
      <c r="K125" s="61">
        <v>0</v>
      </c>
      <c r="L125" s="351"/>
      <c r="M125" s="65">
        <f t="shared" si="190"/>
        <v>0</v>
      </c>
      <c r="N125" s="373"/>
      <c r="O125" s="288"/>
      <c r="P125" s="288"/>
      <c r="Q125" s="286">
        <f t="shared" si="172"/>
        <v>0</v>
      </c>
      <c r="R125" s="334"/>
      <c r="S125" s="61">
        <v>0</v>
      </c>
      <c r="T125" s="376"/>
      <c r="U125" s="61">
        <v>0</v>
      </c>
      <c r="V125" s="342"/>
      <c r="W125" s="61">
        <v>0</v>
      </c>
      <c r="X125" s="342"/>
      <c r="Y125" s="211" t="e">
        <f t="shared" si="272"/>
        <v>#N/A</v>
      </c>
      <c r="Z125" s="370"/>
      <c r="AA125" s="61">
        <v>0</v>
      </c>
      <c r="AB125" s="351"/>
      <c r="AC125" s="61">
        <v>0</v>
      </c>
      <c r="AD125" s="351"/>
      <c r="AE125" s="73" t="e">
        <f t="shared" si="303"/>
        <v>#N/A</v>
      </c>
      <c r="AF125" s="356"/>
      <c r="AG125" s="73" t="e">
        <f t="shared" si="304"/>
        <v>#N/A</v>
      </c>
      <c r="AH125" s="356"/>
      <c r="AI125" s="221">
        <f t="shared" si="329"/>
        <v>29.26</v>
      </c>
      <c r="AJ125" s="78">
        <f t="shared" ref="AJ125:AP125" si="334">AJ124</f>
        <v>0.26750000000000002</v>
      </c>
      <c r="AK125" s="79">
        <f t="shared" si="334"/>
        <v>9.9166666666666661</v>
      </c>
      <c r="AL125" s="80">
        <f t="shared" si="334"/>
        <v>187</v>
      </c>
      <c r="AM125" s="78">
        <f t="shared" si="334"/>
        <v>9.737942583732058E-2</v>
      </c>
      <c r="AN125" s="80">
        <f t="shared" si="334"/>
        <v>143</v>
      </c>
      <c r="AO125" s="78">
        <f t="shared" si="334"/>
        <v>0.21099999999999999</v>
      </c>
      <c r="AP125" s="88">
        <f t="shared" si="334"/>
        <v>12</v>
      </c>
      <c r="AQ125" s="64">
        <f t="shared" si="195"/>
        <v>21.5</v>
      </c>
      <c r="AR125" s="64">
        <f t="shared" si="196"/>
        <v>11.5</v>
      </c>
      <c r="AS125" s="88">
        <f t="shared" si="197"/>
        <v>1.1830000000000001</v>
      </c>
      <c r="AT125" s="91">
        <f t="shared" si="249"/>
        <v>283</v>
      </c>
      <c r="AU125" s="94"/>
      <c r="AV125" s="95"/>
      <c r="AW125" s="56">
        <f t="shared" si="174"/>
        <v>0</v>
      </c>
      <c r="AX125" s="351"/>
      <c r="AY125" s="100">
        <f t="shared" si="201"/>
        <v>9.9166666666666661</v>
      </c>
      <c r="AZ125" s="360"/>
      <c r="BA125" s="91">
        <f t="shared" si="321"/>
        <v>-1154.9458803333328</v>
      </c>
      <c r="BB125" s="5">
        <f t="shared" si="306"/>
        <v>-9.9166666666666661</v>
      </c>
      <c r="BC125" s="363"/>
      <c r="BD125" s="91" t="e">
        <f t="shared" ca="1" si="175"/>
        <v>#N/A</v>
      </c>
      <c r="BE125" s="91" t="e">
        <f t="shared" ca="1" si="176"/>
        <v>#N/A</v>
      </c>
      <c r="BF125" s="91">
        <f t="shared" si="177"/>
        <v>31.833333333333329</v>
      </c>
      <c r="BG125" s="91" t="e">
        <f t="shared" ca="1" si="178"/>
        <v>#N/A</v>
      </c>
      <c r="BH125" s="91" t="e">
        <f t="shared" ca="1" si="221"/>
        <v>#N/A</v>
      </c>
      <c r="BI125" s="10" t="e">
        <f t="shared" ca="1" si="192"/>
        <v>#N/A</v>
      </c>
      <c r="BJ125" s="104">
        <f>((M125+Q125)*AJ125+AK125)+((U125-W125+W125/('Vergleich Holz Strom'!$B$8-0.6))*AO125+AP125)</f>
        <v>21.916666666666664</v>
      </c>
      <c r="BK125" s="10" t="e">
        <f t="shared" ca="1" si="307"/>
        <v>#N/A</v>
      </c>
      <c r="BL125" s="379"/>
      <c r="BM125" s="104" t="e">
        <f t="shared" ca="1" si="188"/>
        <v>#N/A</v>
      </c>
      <c r="BN125" s="40" t="e">
        <f ca="1">IF(ISNUMBER(BK125),BN124+SUMIF(BK122:BK133,"&lt;&gt;#NV",BK122:BK133)/COUNTIF(BK122:BK133,"&lt;&gt;#NV"),#N/A)</f>
        <v>#N/A</v>
      </c>
      <c r="BO125" s="10" t="e">
        <f t="shared" ca="1" si="316"/>
        <v>#N/A</v>
      </c>
      <c r="BP125" s="104" t="e">
        <f t="shared" ca="1" si="308"/>
        <v>#N/A</v>
      </c>
      <c r="BQ125" s="104">
        <f t="shared" ca="1" si="319"/>
        <v>-60820.732176629448</v>
      </c>
      <c r="BR125" s="10">
        <f t="shared" si="179"/>
        <v>9.9166666666666661</v>
      </c>
      <c r="BS125" s="311"/>
      <c r="BT125" s="307"/>
      <c r="BU125" s="295">
        <f t="shared" si="180"/>
        <v>0</v>
      </c>
      <c r="BV125" s="323"/>
      <c r="BW125" s="299">
        <f t="shared" si="181"/>
        <v>0</v>
      </c>
      <c r="BX125" s="295">
        <f t="shared" si="182"/>
        <v>0</v>
      </c>
      <c r="BY125" s="382"/>
      <c r="BZ125" s="299">
        <f t="shared" si="189"/>
        <v>0</v>
      </c>
      <c r="CA125" s="295">
        <f t="shared" si="193"/>
        <v>0</v>
      </c>
      <c r="CB125" s="323"/>
      <c r="CC125" s="314">
        <f t="shared" si="331"/>
        <v>0</v>
      </c>
      <c r="CD125" s="326"/>
      <c r="CE125" s="299">
        <f t="shared" si="183"/>
        <v>0</v>
      </c>
      <c r="CF125" s="284">
        <f t="shared" si="332"/>
        <v>0</v>
      </c>
      <c r="CG125" s="323"/>
      <c r="CH125" s="302">
        <f t="shared" si="217"/>
        <v>0</v>
      </c>
      <c r="CI125" s="108">
        <f t="shared" si="184"/>
        <v>0</v>
      </c>
      <c r="CJ125" s="200">
        <f t="shared" si="185"/>
        <v>0</v>
      </c>
      <c r="CK125" s="197">
        <f t="shared" si="199"/>
        <v>0</v>
      </c>
      <c r="CL125" s="203">
        <f t="shared" si="186"/>
        <v>12</v>
      </c>
      <c r="CM125" s="4">
        <f>U125*Jahresdaten!$AD$2</f>
        <v>0</v>
      </c>
      <c r="CN125" s="112">
        <f>CJ125*Jahresdaten!$AD$2</f>
        <v>0</v>
      </c>
      <c r="CO125" s="366"/>
      <c r="CP125" s="116">
        <f>U125*Jahresdaten!$AD$3</f>
        <v>0</v>
      </c>
      <c r="CQ125" s="12">
        <f>CJ125*Jahresdaten!$AD$3</f>
        <v>0</v>
      </c>
      <c r="CR125" s="353"/>
      <c r="CS125" s="14"/>
      <c r="CT125" s="136"/>
      <c r="CU125" s="140" t="str">
        <f>IF(CT125=0,"",CT125*'Vergleich Holz Strom'!$B$2)</f>
        <v/>
      </c>
      <c r="CV125" s="353"/>
      <c r="CW125" s="366"/>
      <c r="CX125" s="345"/>
      <c r="CY125" s="345"/>
      <c r="CZ125" s="345"/>
      <c r="DA125" s="348"/>
      <c r="DB125" s="94"/>
      <c r="DC125" s="88">
        <f t="shared" si="281"/>
        <v>19850.844666666664</v>
      </c>
      <c r="DD125" s="94"/>
      <c r="DE125" s="88">
        <f t="shared" si="284"/>
        <v>-15125.112547000001</v>
      </c>
      <c r="DF125" s="100" t="e">
        <f ca="1">BE125+(SUM(CS122:CS133)/12)</f>
        <v>#N/A</v>
      </c>
      <c r="DG125" s="351"/>
      <c r="DH125" s="8">
        <f t="shared" si="322"/>
        <v>0</v>
      </c>
      <c r="DI125" s="123">
        <f t="shared" si="309"/>
        <v>7350</v>
      </c>
      <c r="DJ125" s="2">
        <f t="shared" si="323"/>
        <v>0</v>
      </c>
      <c r="DK125" s="127">
        <f>DK133/12*4</f>
        <v>2600</v>
      </c>
      <c r="DL125" s="2">
        <f t="shared" si="324"/>
        <v>650</v>
      </c>
      <c r="DM125" s="130">
        <f t="shared" si="325"/>
        <v>0</v>
      </c>
      <c r="DN125" s="3">
        <f>DN133/12*4</f>
        <v>1000</v>
      </c>
      <c r="DO125" s="130">
        <f t="shared" si="326"/>
        <v>250</v>
      </c>
      <c r="DP125" s="4">
        <f t="shared" si="327"/>
        <v>0</v>
      </c>
      <c r="DQ125" s="116">
        <f t="shared" si="328"/>
        <v>3750</v>
      </c>
      <c r="DR125" s="116">
        <f t="shared" si="333"/>
        <v>1150</v>
      </c>
    </row>
    <row r="126" spans="1:122" ht="14.25" customHeight="1" thickBot="1" x14ac:dyDescent="0.2">
      <c r="A126" s="416"/>
      <c r="B126" s="16">
        <v>47150</v>
      </c>
      <c r="C126" s="207">
        <f>'PV-Felder'!$I$3</f>
        <v>922.2</v>
      </c>
      <c r="D126" s="351"/>
      <c r="E126" s="61">
        <v>0</v>
      </c>
      <c r="F126" s="351"/>
      <c r="G126" s="56" t="e">
        <f t="shared" ca="1" si="171"/>
        <v>#N/A</v>
      </c>
      <c r="H126" s="351"/>
      <c r="I126" s="61">
        <v>0</v>
      </c>
      <c r="J126" s="351"/>
      <c r="K126" s="61">
        <v>0</v>
      </c>
      <c r="L126" s="351"/>
      <c r="M126" s="65">
        <f t="shared" si="190"/>
        <v>0</v>
      </c>
      <c r="N126" s="373"/>
      <c r="O126" s="288"/>
      <c r="P126" s="288"/>
      <c r="Q126" s="286">
        <f t="shared" si="172"/>
        <v>0</v>
      </c>
      <c r="R126" s="334"/>
      <c r="S126" s="61">
        <v>0</v>
      </c>
      <c r="T126" s="376"/>
      <c r="U126" s="61">
        <v>0</v>
      </c>
      <c r="V126" s="342"/>
      <c r="W126" s="61">
        <v>0</v>
      </c>
      <c r="X126" s="342"/>
      <c r="Y126" s="211" t="e">
        <f t="shared" si="272"/>
        <v>#N/A</v>
      </c>
      <c r="Z126" s="370"/>
      <c r="AA126" s="61">
        <v>0</v>
      </c>
      <c r="AB126" s="351"/>
      <c r="AC126" s="61">
        <v>0</v>
      </c>
      <c r="AD126" s="351"/>
      <c r="AE126" s="73" t="e">
        <f t="shared" si="303"/>
        <v>#N/A</v>
      </c>
      <c r="AF126" s="356"/>
      <c r="AG126" s="73" t="e">
        <f t="shared" si="304"/>
        <v>#N/A</v>
      </c>
      <c r="AH126" s="356"/>
      <c r="AI126" s="221">
        <f t="shared" si="329"/>
        <v>29.26</v>
      </c>
      <c r="AJ126" s="78">
        <f t="shared" ref="AJ126:AP126" si="335">AJ125</f>
        <v>0.26750000000000002</v>
      </c>
      <c r="AK126" s="79">
        <f t="shared" si="335"/>
        <v>9.9166666666666661</v>
      </c>
      <c r="AL126" s="80">
        <f t="shared" si="335"/>
        <v>187</v>
      </c>
      <c r="AM126" s="78">
        <f t="shared" si="335"/>
        <v>9.737942583732058E-2</v>
      </c>
      <c r="AN126" s="80">
        <f t="shared" si="335"/>
        <v>143</v>
      </c>
      <c r="AO126" s="78">
        <f t="shared" si="335"/>
        <v>0.21099999999999999</v>
      </c>
      <c r="AP126" s="88">
        <f t="shared" si="335"/>
        <v>12</v>
      </c>
      <c r="AQ126" s="64">
        <f t="shared" si="195"/>
        <v>21.5</v>
      </c>
      <c r="AR126" s="64">
        <f t="shared" si="196"/>
        <v>11.5</v>
      </c>
      <c r="AS126" s="88">
        <f t="shared" si="197"/>
        <v>1.1830000000000001</v>
      </c>
      <c r="AT126" s="91">
        <f t="shared" si="249"/>
        <v>283</v>
      </c>
      <c r="AU126" s="94"/>
      <c r="AV126" s="95"/>
      <c r="AW126" s="56">
        <f t="shared" si="174"/>
        <v>0</v>
      </c>
      <c r="AX126" s="351"/>
      <c r="AY126" s="100">
        <f t="shared" si="201"/>
        <v>9.9166666666666661</v>
      </c>
      <c r="AZ126" s="360"/>
      <c r="BA126" s="91">
        <f t="shared" si="321"/>
        <v>-1164.8625469999995</v>
      </c>
      <c r="BB126" s="5">
        <f t="shared" si="306"/>
        <v>-9.9166666666666661</v>
      </c>
      <c r="BC126" s="363"/>
      <c r="BD126" s="91" t="e">
        <f t="shared" ca="1" si="175"/>
        <v>#N/A</v>
      </c>
      <c r="BE126" s="91" t="e">
        <f t="shared" ca="1" si="176"/>
        <v>#N/A</v>
      </c>
      <c r="BF126" s="91">
        <f t="shared" si="177"/>
        <v>31.833333333333329</v>
      </c>
      <c r="BG126" s="91" t="e">
        <f t="shared" ca="1" si="178"/>
        <v>#N/A</v>
      </c>
      <c r="BH126" s="91" t="e">
        <f t="shared" ca="1" si="221"/>
        <v>#N/A</v>
      </c>
      <c r="BI126" s="10" t="e">
        <f t="shared" ca="1" si="192"/>
        <v>#N/A</v>
      </c>
      <c r="BJ126" s="104">
        <f>((M126+Q126)*AJ126+AK126)+((U126-W126+W126/('Vergleich Holz Strom'!$B$8-0.6))*AO126+AP126)</f>
        <v>21.916666666666664</v>
      </c>
      <c r="BK126" s="10" t="e">
        <f t="shared" ca="1" si="307"/>
        <v>#N/A</v>
      </c>
      <c r="BL126" s="379"/>
      <c r="BM126" s="104" t="e">
        <f t="shared" ca="1" si="188"/>
        <v>#N/A</v>
      </c>
      <c r="BN126" s="40" t="e">
        <f ca="1">IF(ISNUMBER(BK126),BN125+SUMIF(BK122:BK133,"&lt;&gt;#NV",BK122:BK133)/COUNTIF(BK122:BK133,"&lt;&gt;#NV"),#N/A)</f>
        <v>#N/A</v>
      </c>
      <c r="BO126" s="10" t="e">
        <f t="shared" ca="1" si="316"/>
        <v>#N/A</v>
      </c>
      <c r="BP126" s="104" t="e">
        <f t="shared" ca="1" si="308"/>
        <v>#N/A</v>
      </c>
      <c r="BQ126" s="104">
        <f t="shared" ca="1" si="319"/>
        <v>-60801.532176629451</v>
      </c>
      <c r="BR126" s="10">
        <f t="shared" si="179"/>
        <v>9.9166666666666661</v>
      </c>
      <c r="BS126" s="311"/>
      <c r="BT126" s="307"/>
      <c r="BU126" s="295">
        <f t="shared" si="180"/>
        <v>0</v>
      </c>
      <c r="BV126" s="323"/>
      <c r="BW126" s="299">
        <f t="shared" si="181"/>
        <v>0</v>
      </c>
      <c r="BX126" s="295">
        <f t="shared" si="182"/>
        <v>0</v>
      </c>
      <c r="BY126" s="382"/>
      <c r="BZ126" s="299">
        <f t="shared" si="189"/>
        <v>0</v>
      </c>
      <c r="CA126" s="295">
        <f t="shared" si="193"/>
        <v>0</v>
      </c>
      <c r="CB126" s="323"/>
      <c r="CC126" s="314">
        <f t="shared" si="331"/>
        <v>0</v>
      </c>
      <c r="CD126" s="326"/>
      <c r="CE126" s="299">
        <f t="shared" si="183"/>
        <v>0</v>
      </c>
      <c r="CF126" s="284">
        <f t="shared" si="332"/>
        <v>0</v>
      </c>
      <c r="CG126" s="323"/>
      <c r="CH126" s="302">
        <f t="shared" si="217"/>
        <v>0</v>
      </c>
      <c r="CI126" s="108">
        <f t="shared" si="184"/>
        <v>0</v>
      </c>
      <c r="CJ126" s="200">
        <f t="shared" si="185"/>
        <v>0</v>
      </c>
      <c r="CK126" s="197">
        <f t="shared" si="199"/>
        <v>0</v>
      </c>
      <c r="CL126" s="203">
        <f t="shared" si="186"/>
        <v>12</v>
      </c>
      <c r="CM126" s="4">
        <f>U126*Jahresdaten!$AD$2</f>
        <v>0</v>
      </c>
      <c r="CN126" s="112">
        <f>CJ126*Jahresdaten!$AD$2</f>
        <v>0</v>
      </c>
      <c r="CO126" s="366"/>
      <c r="CP126" s="116">
        <f>U126*Jahresdaten!$AD$3</f>
        <v>0</v>
      </c>
      <c r="CQ126" s="12">
        <f>CJ126*Jahresdaten!$AD$3</f>
        <v>0</v>
      </c>
      <c r="CR126" s="353"/>
      <c r="CS126" s="14"/>
      <c r="CT126" s="136"/>
      <c r="CU126" s="140" t="str">
        <f>IF(CT126=0,"",CT126*'Vergleich Holz Strom'!$B$2)</f>
        <v/>
      </c>
      <c r="CV126" s="353"/>
      <c r="CW126" s="366"/>
      <c r="CX126" s="345"/>
      <c r="CY126" s="345"/>
      <c r="CZ126" s="345"/>
      <c r="DA126" s="348"/>
      <c r="DB126" s="94"/>
      <c r="DC126" s="88">
        <f t="shared" si="281"/>
        <v>20027.927999999996</v>
      </c>
      <c r="DD126" s="94"/>
      <c r="DE126" s="88">
        <f t="shared" si="284"/>
        <v>-15268.112547000001</v>
      </c>
      <c r="DF126" s="100" t="e">
        <f ca="1">BE126+(SUM(CS122:CS133)/12)</f>
        <v>#N/A</v>
      </c>
      <c r="DG126" s="351"/>
      <c r="DH126" s="8">
        <f t="shared" si="322"/>
        <v>0</v>
      </c>
      <c r="DI126" s="123">
        <f t="shared" si="309"/>
        <v>9600</v>
      </c>
      <c r="DJ126" s="2">
        <f t="shared" si="323"/>
        <v>0</v>
      </c>
      <c r="DK126" s="127">
        <f>DK133/12*5</f>
        <v>3250</v>
      </c>
      <c r="DL126" s="2">
        <f t="shared" si="324"/>
        <v>650</v>
      </c>
      <c r="DM126" s="130">
        <f t="shared" si="325"/>
        <v>0</v>
      </c>
      <c r="DN126" s="3">
        <f>DN133/12*5</f>
        <v>1250</v>
      </c>
      <c r="DO126" s="130">
        <f t="shared" si="326"/>
        <v>250</v>
      </c>
      <c r="DP126" s="4">
        <f t="shared" si="327"/>
        <v>0</v>
      </c>
      <c r="DQ126" s="116">
        <f t="shared" si="328"/>
        <v>5100</v>
      </c>
      <c r="DR126" s="116">
        <f t="shared" si="333"/>
        <v>1350</v>
      </c>
    </row>
    <row r="127" spans="1:122" ht="14.25" customHeight="1" thickBot="1" x14ac:dyDescent="0.2">
      <c r="A127" s="416"/>
      <c r="B127" s="16">
        <v>47178</v>
      </c>
      <c r="C127" s="207">
        <f>'PV-Felder'!$I$4</f>
        <v>1860</v>
      </c>
      <c r="D127" s="351"/>
      <c r="E127" s="61">
        <v>0</v>
      </c>
      <c r="F127" s="351"/>
      <c r="G127" s="56" t="e">
        <f t="shared" ca="1" si="171"/>
        <v>#N/A</v>
      </c>
      <c r="H127" s="351"/>
      <c r="I127" s="61">
        <v>0</v>
      </c>
      <c r="J127" s="351"/>
      <c r="K127" s="61">
        <v>0</v>
      </c>
      <c r="L127" s="351"/>
      <c r="M127" s="65">
        <f t="shared" si="190"/>
        <v>0</v>
      </c>
      <c r="N127" s="373"/>
      <c r="O127" s="288"/>
      <c r="P127" s="288"/>
      <c r="Q127" s="286">
        <f t="shared" si="172"/>
        <v>0</v>
      </c>
      <c r="R127" s="334"/>
      <c r="S127" s="61">
        <v>0</v>
      </c>
      <c r="T127" s="376"/>
      <c r="U127" s="61">
        <v>0</v>
      </c>
      <c r="V127" s="342"/>
      <c r="W127" s="61">
        <v>0</v>
      </c>
      <c r="X127" s="342"/>
      <c r="Y127" s="211" t="e">
        <f t="shared" si="272"/>
        <v>#N/A</v>
      </c>
      <c r="Z127" s="370"/>
      <c r="AA127" s="61">
        <v>0</v>
      </c>
      <c r="AB127" s="351"/>
      <c r="AC127" s="61">
        <v>0</v>
      </c>
      <c r="AD127" s="351"/>
      <c r="AE127" s="73" t="e">
        <f t="shared" si="303"/>
        <v>#N/A</v>
      </c>
      <c r="AF127" s="356"/>
      <c r="AG127" s="73" t="e">
        <f t="shared" si="304"/>
        <v>#N/A</v>
      </c>
      <c r="AH127" s="356"/>
      <c r="AI127" s="221">
        <f t="shared" si="329"/>
        <v>29.26</v>
      </c>
      <c r="AJ127" s="78">
        <f t="shared" ref="AJ127:AP127" si="336">AJ126</f>
        <v>0.26750000000000002</v>
      </c>
      <c r="AK127" s="79">
        <f t="shared" si="336"/>
        <v>9.9166666666666661</v>
      </c>
      <c r="AL127" s="80">
        <f t="shared" si="336"/>
        <v>187</v>
      </c>
      <c r="AM127" s="78">
        <f t="shared" si="336"/>
        <v>9.737942583732058E-2</v>
      </c>
      <c r="AN127" s="80">
        <f t="shared" si="336"/>
        <v>143</v>
      </c>
      <c r="AO127" s="78">
        <f t="shared" si="336"/>
        <v>0.21099999999999999</v>
      </c>
      <c r="AP127" s="88">
        <f t="shared" si="336"/>
        <v>12</v>
      </c>
      <c r="AQ127" s="64">
        <f t="shared" si="195"/>
        <v>21.5</v>
      </c>
      <c r="AR127" s="64">
        <f t="shared" si="196"/>
        <v>11.5</v>
      </c>
      <c r="AS127" s="88">
        <f t="shared" si="197"/>
        <v>1.1830000000000001</v>
      </c>
      <c r="AT127" s="91">
        <f t="shared" si="249"/>
        <v>283</v>
      </c>
      <c r="AU127" s="94"/>
      <c r="AV127" s="95"/>
      <c r="AW127" s="56">
        <f t="shared" si="174"/>
        <v>0</v>
      </c>
      <c r="AX127" s="351"/>
      <c r="AY127" s="100">
        <f t="shared" si="201"/>
        <v>9.9166666666666661</v>
      </c>
      <c r="AZ127" s="360"/>
      <c r="BA127" s="91">
        <f t="shared" si="321"/>
        <v>-1174.7792136666662</v>
      </c>
      <c r="BB127" s="5">
        <f t="shared" si="306"/>
        <v>-9.9166666666666661</v>
      </c>
      <c r="BC127" s="363"/>
      <c r="BD127" s="91" t="e">
        <f t="shared" ca="1" si="175"/>
        <v>#N/A</v>
      </c>
      <c r="BE127" s="91" t="e">
        <f t="shared" ca="1" si="176"/>
        <v>#N/A</v>
      </c>
      <c r="BF127" s="91">
        <f t="shared" si="177"/>
        <v>31.833333333333329</v>
      </c>
      <c r="BG127" s="91" t="e">
        <f t="shared" ca="1" si="178"/>
        <v>#N/A</v>
      </c>
      <c r="BH127" s="91" t="e">
        <f t="shared" ca="1" si="221"/>
        <v>#N/A</v>
      </c>
      <c r="BI127" s="10" t="e">
        <f t="shared" ca="1" si="192"/>
        <v>#N/A</v>
      </c>
      <c r="BJ127" s="104">
        <f>((M127+Q127)*AJ127+AK127)+((U127-W127+W127/('Vergleich Holz Strom'!$B$8-0.6))*AO127+AP127)</f>
        <v>21.916666666666664</v>
      </c>
      <c r="BK127" s="10" t="e">
        <f t="shared" ca="1" si="307"/>
        <v>#N/A</v>
      </c>
      <c r="BL127" s="379"/>
      <c r="BM127" s="104" t="e">
        <f t="shared" ca="1" si="188"/>
        <v>#N/A</v>
      </c>
      <c r="BN127" s="40" t="e">
        <f ca="1">IF(ISNUMBER(BK127),BN126+SUMIF(BK122:BK133,"&lt;&gt;#NV",BK122:BK133)/COUNTIF(BK122:BK133,"&lt;&gt;#NV"),#N/A)</f>
        <v>#N/A</v>
      </c>
      <c r="BO127" s="10" t="e">
        <f t="shared" ca="1" si="316"/>
        <v>#N/A</v>
      </c>
      <c r="BP127" s="104" t="e">
        <f t="shared" ca="1" si="308"/>
        <v>#N/A</v>
      </c>
      <c r="BQ127" s="104">
        <f t="shared" ca="1" si="319"/>
        <v>-60782.332176629454</v>
      </c>
      <c r="BR127" s="10">
        <f t="shared" si="179"/>
        <v>9.9166666666666661</v>
      </c>
      <c r="BS127" s="311"/>
      <c r="BT127" s="307"/>
      <c r="BU127" s="295">
        <f t="shared" si="180"/>
        <v>0</v>
      </c>
      <c r="BV127" s="323"/>
      <c r="BW127" s="299">
        <f t="shared" si="181"/>
        <v>0</v>
      </c>
      <c r="BX127" s="295">
        <f t="shared" si="182"/>
        <v>0</v>
      </c>
      <c r="BY127" s="382"/>
      <c r="BZ127" s="299">
        <f t="shared" si="189"/>
        <v>0</v>
      </c>
      <c r="CA127" s="295">
        <f t="shared" si="193"/>
        <v>0</v>
      </c>
      <c r="CB127" s="323"/>
      <c r="CC127" s="314">
        <f t="shared" si="331"/>
        <v>0</v>
      </c>
      <c r="CD127" s="326"/>
      <c r="CE127" s="299">
        <f t="shared" si="183"/>
        <v>0</v>
      </c>
      <c r="CF127" s="284">
        <f t="shared" si="332"/>
        <v>0</v>
      </c>
      <c r="CG127" s="323"/>
      <c r="CH127" s="302">
        <f t="shared" si="217"/>
        <v>0</v>
      </c>
      <c r="CI127" s="108">
        <f t="shared" si="184"/>
        <v>0</v>
      </c>
      <c r="CJ127" s="200">
        <f t="shared" si="185"/>
        <v>0</v>
      </c>
      <c r="CK127" s="197">
        <f t="shared" si="199"/>
        <v>0</v>
      </c>
      <c r="CL127" s="203">
        <f t="shared" si="186"/>
        <v>12</v>
      </c>
      <c r="CM127" s="4">
        <f>U127*Jahresdaten!$AD$2</f>
        <v>0</v>
      </c>
      <c r="CN127" s="112">
        <f>CJ127*Jahresdaten!$AD$2</f>
        <v>0</v>
      </c>
      <c r="CO127" s="366"/>
      <c r="CP127" s="116">
        <f>U127*Jahresdaten!$AD$3</f>
        <v>0</v>
      </c>
      <c r="CQ127" s="12">
        <f>CJ127*Jahresdaten!$AD$3</f>
        <v>0</v>
      </c>
      <c r="CR127" s="353"/>
      <c r="CS127" s="14"/>
      <c r="CT127" s="136"/>
      <c r="CU127" s="140" t="str">
        <f>IF(CT127=0,"",CT127*'Vergleich Holz Strom'!$B$2)</f>
        <v/>
      </c>
      <c r="CV127" s="353"/>
      <c r="CW127" s="366"/>
      <c r="CX127" s="345"/>
      <c r="CY127" s="345"/>
      <c r="CZ127" s="345"/>
      <c r="DA127" s="348"/>
      <c r="DB127" s="94"/>
      <c r="DC127" s="88">
        <f t="shared" si="281"/>
        <v>20205.011333333328</v>
      </c>
      <c r="DD127" s="94"/>
      <c r="DE127" s="88">
        <f t="shared" si="284"/>
        <v>-15411.112547000001</v>
      </c>
      <c r="DF127" s="100" t="e">
        <f ca="1">BE127+(SUM(CS122:CS133)/12)</f>
        <v>#N/A</v>
      </c>
      <c r="DG127" s="351"/>
      <c r="DH127" s="8">
        <f t="shared" si="322"/>
        <v>0</v>
      </c>
      <c r="DI127" s="123">
        <f t="shared" si="309"/>
        <v>11850</v>
      </c>
      <c r="DJ127" s="2">
        <f t="shared" si="323"/>
        <v>0</v>
      </c>
      <c r="DK127" s="127">
        <f>DK133/12*6</f>
        <v>3900</v>
      </c>
      <c r="DL127" s="2">
        <f t="shared" si="324"/>
        <v>650</v>
      </c>
      <c r="DM127" s="130">
        <f t="shared" si="325"/>
        <v>0</v>
      </c>
      <c r="DN127" s="3">
        <f>DN133/12*6</f>
        <v>1500</v>
      </c>
      <c r="DO127" s="130">
        <f t="shared" si="326"/>
        <v>250</v>
      </c>
      <c r="DP127" s="4">
        <f t="shared" si="327"/>
        <v>0</v>
      </c>
      <c r="DQ127" s="116">
        <f t="shared" si="328"/>
        <v>6450</v>
      </c>
      <c r="DR127" s="116">
        <f t="shared" si="333"/>
        <v>1350</v>
      </c>
    </row>
    <row r="128" spans="1:122" ht="15" customHeight="1" thickBot="1" x14ac:dyDescent="0.2">
      <c r="A128" s="416"/>
      <c r="B128" s="16">
        <v>47209</v>
      </c>
      <c r="C128" s="207">
        <f>'PV-Felder'!$I$5</f>
        <v>2887.3</v>
      </c>
      <c r="D128" s="351"/>
      <c r="E128" s="61">
        <v>0</v>
      </c>
      <c r="F128" s="351"/>
      <c r="G128" s="56" t="e">
        <f t="shared" ca="1" si="171"/>
        <v>#N/A</v>
      </c>
      <c r="H128" s="351"/>
      <c r="I128" s="61">
        <v>0</v>
      </c>
      <c r="J128" s="351"/>
      <c r="K128" s="61">
        <v>0</v>
      </c>
      <c r="L128" s="351"/>
      <c r="M128" s="65">
        <f t="shared" si="190"/>
        <v>0</v>
      </c>
      <c r="N128" s="373"/>
      <c r="O128" s="288"/>
      <c r="P128" s="288"/>
      <c r="Q128" s="286">
        <f t="shared" si="172"/>
        <v>0</v>
      </c>
      <c r="R128" s="334"/>
      <c r="S128" s="61">
        <v>0</v>
      </c>
      <c r="T128" s="376"/>
      <c r="U128" s="61">
        <v>0</v>
      </c>
      <c r="V128" s="342"/>
      <c r="W128" s="61">
        <v>0</v>
      </c>
      <c r="X128" s="342"/>
      <c r="Y128" s="211" t="e">
        <f t="shared" si="272"/>
        <v>#N/A</v>
      </c>
      <c r="Z128" s="370"/>
      <c r="AA128" s="61">
        <v>0</v>
      </c>
      <c r="AB128" s="351"/>
      <c r="AC128" s="61">
        <v>0</v>
      </c>
      <c r="AD128" s="351"/>
      <c r="AE128" s="73" t="e">
        <f t="shared" si="303"/>
        <v>#N/A</v>
      </c>
      <c r="AF128" s="356"/>
      <c r="AG128" s="73" t="e">
        <f t="shared" si="304"/>
        <v>#N/A</v>
      </c>
      <c r="AH128" s="356"/>
      <c r="AI128" s="221">
        <f t="shared" si="329"/>
        <v>29.26</v>
      </c>
      <c r="AJ128" s="78">
        <f t="shared" ref="AJ128:AP128" si="337">AJ127</f>
        <v>0.26750000000000002</v>
      </c>
      <c r="AK128" s="79">
        <f t="shared" si="337"/>
        <v>9.9166666666666661</v>
      </c>
      <c r="AL128" s="80">
        <f t="shared" si="337"/>
        <v>187</v>
      </c>
      <c r="AM128" s="78">
        <f t="shared" si="337"/>
        <v>9.737942583732058E-2</v>
      </c>
      <c r="AN128" s="80">
        <f t="shared" si="337"/>
        <v>143</v>
      </c>
      <c r="AO128" s="78">
        <f t="shared" si="337"/>
        <v>0.21099999999999999</v>
      </c>
      <c r="AP128" s="88">
        <f t="shared" si="337"/>
        <v>12</v>
      </c>
      <c r="AQ128" s="64">
        <f t="shared" si="195"/>
        <v>21.5</v>
      </c>
      <c r="AR128" s="64">
        <f t="shared" si="196"/>
        <v>11.5</v>
      </c>
      <c r="AS128" s="88">
        <f t="shared" si="197"/>
        <v>1.1830000000000001</v>
      </c>
      <c r="AT128" s="91">
        <f t="shared" si="249"/>
        <v>283</v>
      </c>
      <c r="AU128" s="94"/>
      <c r="AV128" s="95"/>
      <c r="AW128" s="56">
        <f t="shared" si="174"/>
        <v>0</v>
      </c>
      <c r="AX128" s="351"/>
      <c r="AY128" s="100">
        <f t="shared" si="201"/>
        <v>9.9166666666666661</v>
      </c>
      <c r="AZ128" s="360"/>
      <c r="BA128" s="91">
        <f t="shared" si="321"/>
        <v>-1184.695880333333</v>
      </c>
      <c r="BB128" s="5">
        <f t="shared" si="306"/>
        <v>-9.9166666666666661</v>
      </c>
      <c r="BC128" s="363"/>
      <c r="BD128" s="91" t="e">
        <f t="shared" ca="1" si="175"/>
        <v>#N/A</v>
      </c>
      <c r="BE128" s="91" t="e">
        <f t="shared" ca="1" si="176"/>
        <v>#N/A</v>
      </c>
      <c r="BF128" s="91">
        <f t="shared" si="177"/>
        <v>31.833333333333329</v>
      </c>
      <c r="BG128" s="91" t="e">
        <f t="shared" ca="1" si="178"/>
        <v>#N/A</v>
      </c>
      <c r="BH128" s="91" t="e">
        <f t="shared" ca="1" si="221"/>
        <v>#N/A</v>
      </c>
      <c r="BI128" s="10" t="e">
        <f t="shared" ca="1" si="192"/>
        <v>#N/A</v>
      </c>
      <c r="BJ128" s="104">
        <f>((M128+Q128)*AJ128+AK128)+((U128-W128+W128/('Vergleich Holz Strom'!$B$8-0.6))*AO128+AP128)</f>
        <v>21.916666666666664</v>
      </c>
      <c r="BK128" s="10" t="e">
        <f t="shared" ca="1" si="307"/>
        <v>#N/A</v>
      </c>
      <c r="BL128" s="379"/>
      <c r="BM128" s="104" t="e">
        <f t="shared" ca="1" si="188"/>
        <v>#N/A</v>
      </c>
      <c r="BN128" s="40" t="e">
        <f ca="1">IF(ISNUMBER(BK128),BN127+SUMIF(BK122:BK133,"&lt;&gt;#NV",BK122:BK133)/COUNTIF(BK122:BK133,"&lt;&gt;#NV"),#N/A)</f>
        <v>#N/A</v>
      </c>
      <c r="BO128" s="10" t="e">
        <f t="shared" ca="1" si="316"/>
        <v>#N/A</v>
      </c>
      <c r="BP128" s="104" t="e">
        <f t="shared" ca="1" si="308"/>
        <v>#N/A</v>
      </c>
      <c r="BQ128" s="104">
        <f t="shared" ca="1" si="319"/>
        <v>-60763.132176629428</v>
      </c>
      <c r="BR128" s="10">
        <f t="shared" si="179"/>
        <v>9.9166666666666661</v>
      </c>
      <c r="BS128" s="311"/>
      <c r="BT128" s="307"/>
      <c r="BU128" s="295">
        <f t="shared" si="180"/>
        <v>0</v>
      </c>
      <c r="BV128" s="323"/>
      <c r="BW128" s="299">
        <f t="shared" si="181"/>
        <v>0</v>
      </c>
      <c r="BX128" s="295">
        <f t="shared" si="182"/>
        <v>0</v>
      </c>
      <c r="BY128" s="382"/>
      <c r="BZ128" s="299">
        <f t="shared" si="189"/>
        <v>0</v>
      </c>
      <c r="CA128" s="295">
        <f t="shared" si="193"/>
        <v>0</v>
      </c>
      <c r="CB128" s="323"/>
      <c r="CC128" s="314">
        <f t="shared" si="331"/>
        <v>0</v>
      </c>
      <c r="CD128" s="326"/>
      <c r="CE128" s="299">
        <f t="shared" si="183"/>
        <v>0</v>
      </c>
      <c r="CF128" s="284">
        <f t="shared" si="332"/>
        <v>0</v>
      </c>
      <c r="CG128" s="323"/>
      <c r="CH128" s="302">
        <f t="shared" si="217"/>
        <v>0</v>
      </c>
      <c r="CI128" s="108">
        <f t="shared" si="184"/>
        <v>0</v>
      </c>
      <c r="CJ128" s="200">
        <f t="shared" si="185"/>
        <v>0</v>
      </c>
      <c r="CK128" s="197">
        <f t="shared" si="199"/>
        <v>0</v>
      </c>
      <c r="CL128" s="203">
        <f t="shared" si="186"/>
        <v>12</v>
      </c>
      <c r="CM128" s="4">
        <f>U128*Jahresdaten!$AD$2</f>
        <v>0</v>
      </c>
      <c r="CN128" s="112">
        <f>CJ128*Jahresdaten!$AD$2</f>
        <v>0</v>
      </c>
      <c r="CO128" s="366"/>
      <c r="CP128" s="116">
        <f>U128*Jahresdaten!$AD$3</f>
        <v>0</v>
      </c>
      <c r="CQ128" s="12">
        <f>CJ128*Jahresdaten!$AD$3</f>
        <v>0</v>
      </c>
      <c r="CR128" s="353"/>
      <c r="CS128" s="14"/>
      <c r="CT128" s="136"/>
      <c r="CU128" s="140" t="str">
        <f>IF(CT128=0,"",CT128*'Vergleich Holz Strom'!$B$2)</f>
        <v/>
      </c>
      <c r="CV128" s="121" t="s">
        <v>6</v>
      </c>
      <c r="CW128" s="366"/>
      <c r="CX128" s="345"/>
      <c r="CY128" s="345"/>
      <c r="CZ128" s="345"/>
      <c r="DA128" s="348"/>
      <c r="DB128" s="94"/>
      <c r="DC128" s="88">
        <f t="shared" si="281"/>
        <v>20382.09466666666</v>
      </c>
      <c r="DD128" s="94"/>
      <c r="DE128" s="88">
        <f t="shared" si="284"/>
        <v>-15554.112547000001</v>
      </c>
      <c r="DF128" s="100" t="e">
        <f ca="1">BE128+(SUM(CS122:CS133)/12)</f>
        <v>#N/A</v>
      </c>
      <c r="DG128" s="351"/>
      <c r="DH128" s="8">
        <f t="shared" si="322"/>
        <v>0</v>
      </c>
      <c r="DI128" s="123">
        <f t="shared" si="309"/>
        <v>14000</v>
      </c>
      <c r="DJ128" s="2">
        <f t="shared" si="323"/>
        <v>0</v>
      </c>
      <c r="DK128" s="127">
        <f>DK133/12*7</f>
        <v>4550</v>
      </c>
      <c r="DL128" s="2">
        <f t="shared" si="324"/>
        <v>650</v>
      </c>
      <c r="DM128" s="130">
        <f t="shared" si="325"/>
        <v>0</v>
      </c>
      <c r="DN128" s="3">
        <f>DN133/12*7</f>
        <v>1750</v>
      </c>
      <c r="DO128" s="130">
        <f t="shared" si="326"/>
        <v>250</v>
      </c>
      <c r="DP128" s="4">
        <f t="shared" si="327"/>
        <v>0</v>
      </c>
      <c r="DQ128" s="116">
        <f t="shared" si="328"/>
        <v>7700</v>
      </c>
      <c r="DR128" s="116">
        <f t="shared" si="333"/>
        <v>1250</v>
      </c>
    </row>
    <row r="129" spans="1:122" ht="14.25" customHeight="1" thickBot="1" x14ac:dyDescent="0.2">
      <c r="A129" s="416"/>
      <c r="B129" s="16">
        <v>47239</v>
      </c>
      <c r="C129" s="207">
        <f>'PV-Felder'!$I$6</f>
        <v>3391.3999999999996</v>
      </c>
      <c r="D129" s="351"/>
      <c r="E129" s="61">
        <v>0</v>
      </c>
      <c r="F129" s="351"/>
      <c r="G129" s="56" t="e">
        <f t="shared" ca="1" si="171"/>
        <v>#N/A</v>
      </c>
      <c r="H129" s="351"/>
      <c r="I129" s="61">
        <v>0</v>
      </c>
      <c r="J129" s="351"/>
      <c r="K129" s="61">
        <v>0</v>
      </c>
      <c r="L129" s="351"/>
      <c r="M129" s="65">
        <f t="shared" si="190"/>
        <v>0</v>
      </c>
      <c r="N129" s="373"/>
      <c r="O129" s="288"/>
      <c r="P129" s="288"/>
      <c r="Q129" s="286">
        <f t="shared" si="172"/>
        <v>0</v>
      </c>
      <c r="R129" s="334"/>
      <c r="S129" s="61">
        <v>0</v>
      </c>
      <c r="T129" s="376"/>
      <c r="U129" s="61">
        <v>0</v>
      </c>
      <c r="V129" s="342"/>
      <c r="W129" s="61">
        <v>0</v>
      </c>
      <c r="X129" s="342"/>
      <c r="Y129" s="211" t="e">
        <f t="shared" si="272"/>
        <v>#N/A</v>
      </c>
      <c r="Z129" s="370"/>
      <c r="AA129" s="61">
        <v>0</v>
      </c>
      <c r="AB129" s="351"/>
      <c r="AC129" s="61">
        <v>0</v>
      </c>
      <c r="AD129" s="351"/>
      <c r="AE129" s="73" t="e">
        <f t="shared" si="303"/>
        <v>#N/A</v>
      </c>
      <c r="AF129" s="356"/>
      <c r="AG129" s="73" t="e">
        <f t="shared" si="304"/>
        <v>#N/A</v>
      </c>
      <c r="AH129" s="356"/>
      <c r="AI129" s="221">
        <f t="shared" si="329"/>
        <v>29.26</v>
      </c>
      <c r="AJ129" s="78">
        <f t="shared" ref="AJ129:AP129" si="338">AJ128</f>
        <v>0.26750000000000002</v>
      </c>
      <c r="AK129" s="79">
        <f t="shared" si="338"/>
        <v>9.9166666666666661</v>
      </c>
      <c r="AL129" s="80">
        <f t="shared" si="338"/>
        <v>187</v>
      </c>
      <c r="AM129" s="78">
        <f t="shared" si="338"/>
        <v>9.737942583732058E-2</v>
      </c>
      <c r="AN129" s="80">
        <f t="shared" si="338"/>
        <v>143</v>
      </c>
      <c r="AO129" s="78">
        <f t="shared" si="338"/>
        <v>0.21099999999999999</v>
      </c>
      <c r="AP129" s="88">
        <f t="shared" si="338"/>
        <v>12</v>
      </c>
      <c r="AQ129" s="64">
        <f t="shared" si="195"/>
        <v>21.5</v>
      </c>
      <c r="AR129" s="64">
        <f t="shared" si="196"/>
        <v>11.5</v>
      </c>
      <c r="AS129" s="88">
        <f t="shared" si="197"/>
        <v>1.1830000000000001</v>
      </c>
      <c r="AT129" s="91">
        <f t="shared" si="249"/>
        <v>283</v>
      </c>
      <c r="AU129" s="94"/>
      <c r="AV129" s="95"/>
      <c r="AW129" s="56">
        <f t="shared" si="174"/>
        <v>0</v>
      </c>
      <c r="AX129" s="351"/>
      <c r="AY129" s="100">
        <f t="shared" si="201"/>
        <v>9.9166666666666661</v>
      </c>
      <c r="AZ129" s="360"/>
      <c r="BA129" s="91">
        <f t="shared" si="321"/>
        <v>-1194.6125469999997</v>
      </c>
      <c r="BB129" s="5">
        <f t="shared" si="306"/>
        <v>-9.9166666666666661</v>
      </c>
      <c r="BC129" s="363"/>
      <c r="BD129" s="91" t="e">
        <f t="shared" ca="1" si="175"/>
        <v>#N/A</v>
      </c>
      <c r="BE129" s="91" t="e">
        <f t="shared" ca="1" si="176"/>
        <v>#N/A</v>
      </c>
      <c r="BF129" s="91">
        <f t="shared" si="177"/>
        <v>31.833333333333329</v>
      </c>
      <c r="BG129" s="91" t="e">
        <f t="shared" ca="1" si="178"/>
        <v>#N/A</v>
      </c>
      <c r="BH129" s="91" t="e">
        <f t="shared" ca="1" si="221"/>
        <v>#N/A</v>
      </c>
      <c r="BI129" s="10" t="e">
        <f t="shared" ca="1" si="192"/>
        <v>#N/A</v>
      </c>
      <c r="BJ129" s="104">
        <f>((M129+Q129)*AJ129+AK129)+((U129-W129+W129/('Vergleich Holz Strom'!$B$8-0.6))*AO129+AP129)</f>
        <v>21.916666666666664</v>
      </c>
      <c r="BK129" s="10" t="e">
        <f t="shared" ca="1" si="307"/>
        <v>#N/A</v>
      </c>
      <c r="BL129" s="379"/>
      <c r="BM129" s="104" t="e">
        <f t="shared" ca="1" si="188"/>
        <v>#N/A</v>
      </c>
      <c r="BN129" s="40" t="e">
        <f ca="1">IF(ISNUMBER(BK129),BN128+SUMIF(BK122:BK133,"&lt;&gt;#NV",BK122:BK133)/COUNTIF(BK122:BK133,"&lt;&gt;#NV"),#N/A)</f>
        <v>#N/A</v>
      </c>
      <c r="BO129" s="10" t="e">
        <f t="shared" ca="1" si="316"/>
        <v>#N/A</v>
      </c>
      <c r="BP129" s="104" t="e">
        <f t="shared" ca="1" si="308"/>
        <v>#N/A</v>
      </c>
      <c r="BQ129" s="104">
        <f t="shared" ca="1" si="319"/>
        <v>-60743.932176629416</v>
      </c>
      <c r="BR129" s="10">
        <f t="shared" si="179"/>
        <v>9.9166666666666661</v>
      </c>
      <c r="BS129" s="311"/>
      <c r="BT129" s="307"/>
      <c r="BU129" s="295">
        <f t="shared" si="180"/>
        <v>0</v>
      </c>
      <c r="BV129" s="323"/>
      <c r="BW129" s="299">
        <f t="shared" si="181"/>
        <v>0</v>
      </c>
      <c r="BX129" s="295">
        <f t="shared" si="182"/>
        <v>0</v>
      </c>
      <c r="BY129" s="382"/>
      <c r="BZ129" s="299">
        <f t="shared" si="189"/>
        <v>0</v>
      </c>
      <c r="CA129" s="295">
        <f t="shared" si="193"/>
        <v>0</v>
      </c>
      <c r="CB129" s="323"/>
      <c r="CC129" s="314">
        <f t="shared" si="331"/>
        <v>0</v>
      </c>
      <c r="CD129" s="326"/>
      <c r="CE129" s="299">
        <f t="shared" si="183"/>
        <v>0</v>
      </c>
      <c r="CF129" s="284">
        <f t="shared" si="332"/>
        <v>0</v>
      </c>
      <c r="CG129" s="323"/>
      <c r="CH129" s="302">
        <f t="shared" si="217"/>
        <v>0</v>
      </c>
      <c r="CI129" s="108">
        <f t="shared" si="184"/>
        <v>0</v>
      </c>
      <c r="CJ129" s="200">
        <f t="shared" si="185"/>
        <v>0</v>
      </c>
      <c r="CK129" s="197">
        <f t="shared" si="199"/>
        <v>0</v>
      </c>
      <c r="CL129" s="203">
        <f t="shared" si="186"/>
        <v>12</v>
      </c>
      <c r="CM129" s="4">
        <f>U129*Jahresdaten!$AD$2</f>
        <v>0</v>
      </c>
      <c r="CN129" s="112">
        <f>CJ129*Jahresdaten!$AD$2</f>
        <v>0</v>
      </c>
      <c r="CO129" s="366"/>
      <c r="CP129" s="116">
        <f>U129*Jahresdaten!$AD$3</f>
        <v>0</v>
      </c>
      <c r="CQ129" s="12">
        <f>CJ129*Jahresdaten!$AD$3</f>
        <v>0</v>
      </c>
      <c r="CR129" s="353"/>
      <c r="CS129" s="14"/>
      <c r="CT129" s="136"/>
      <c r="CU129" s="140" t="str">
        <f>IF(CT129=0,"",CT129*'Vergleich Holz Strom'!$B$2)</f>
        <v/>
      </c>
      <c r="CV129" s="353">
        <f>SUM(CS122:CS133)</f>
        <v>1169</v>
      </c>
      <c r="CW129" s="366"/>
      <c r="CX129" s="345"/>
      <c r="CY129" s="345"/>
      <c r="CZ129" s="345"/>
      <c r="DA129" s="348"/>
      <c r="DB129" s="94"/>
      <c r="DC129" s="88">
        <f t="shared" si="281"/>
        <v>20559.177999999993</v>
      </c>
      <c r="DD129" s="94"/>
      <c r="DE129" s="88">
        <f t="shared" si="284"/>
        <v>-15697.112547000001</v>
      </c>
      <c r="DF129" s="100" t="e">
        <f ca="1">BE129+(SUM(CS122:CS133)/12)</f>
        <v>#N/A</v>
      </c>
      <c r="DG129" s="351"/>
      <c r="DH129" s="8">
        <f t="shared" si="322"/>
        <v>0</v>
      </c>
      <c r="DI129" s="123">
        <f t="shared" si="309"/>
        <v>16000</v>
      </c>
      <c r="DJ129" s="2">
        <f t="shared" si="323"/>
        <v>0</v>
      </c>
      <c r="DK129" s="127">
        <f>DK133/12*8</f>
        <v>5200</v>
      </c>
      <c r="DL129" s="2">
        <f t="shared" si="324"/>
        <v>650</v>
      </c>
      <c r="DM129" s="130">
        <f t="shared" si="325"/>
        <v>0</v>
      </c>
      <c r="DN129" s="3">
        <f>DN133/12*8</f>
        <v>2000</v>
      </c>
      <c r="DO129" s="130">
        <f t="shared" si="326"/>
        <v>250</v>
      </c>
      <c r="DP129" s="4">
        <f t="shared" si="327"/>
        <v>0</v>
      </c>
      <c r="DQ129" s="116">
        <f t="shared" si="328"/>
        <v>8800</v>
      </c>
      <c r="DR129" s="116">
        <f t="shared" si="333"/>
        <v>1100</v>
      </c>
    </row>
    <row r="130" spans="1:122" ht="14.25" customHeight="1" thickBot="1" x14ac:dyDescent="0.2">
      <c r="A130" s="416"/>
      <c r="B130" s="16">
        <v>47270</v>
      </c>
      <c r="C130" s="207">
        <f>'PV-Felder'!$I$7</f>
        <v>3595.6000000000004</v>
      </c>
      <c r="D130" s="351"/>
      <c r="E130" s="61">
        <v>0</v>
      </c>
      <c r="F130" s="351"/>
      <c r="G130" s="56" t="e">
        <f t="shared" ref="G130:G193" ca="1" si="339">IF(TODAY()&lt;B131,IF(E130&gt;0,E130-C130,#N/A),E130-C130)</f>
        <v>#N/A</v>
      </c>
      <c r="H130" s="351"/>
      <c r="I130" s="61">
        <v>0</v>
      </c>
      <c r="J130" s="351"/>
      <c r="K130" s="61">
        <v>0</v>
      </c>
      <c r="L130" s="351"/>
      <c r="M130" s="65">
        <f t="shared" si="190"/>
        <v>0</v>
      </c>
      <c r="N130" s="373"/>
      <c r="O130" s="288"/>
      <c r="P130" s="288"/>
      <c r="Q130" s="286">
        <f t="shared" ref="Q130:Q193" si="340">O130-P130</f>
        <v>0</v>
      </c>
      <c r="R130" s="334"/>
      <c r="S130" s="61">
        <v>0</v>
      </c>
      <c r="T130" s="376"/>
      <c r="U130" s="61">
        <v>0</v>
      </c>
      <c r="V130" s="342"/>
      <c r="W130" s="61">
        <v>0</v>
      </c>
      <c r="X130" s="342"/>
      <c r="Y130" s="211" t="e">
        <f t="shared" si="272"/>
        <v>#N/A</v>
      </c>
      <c r="Z130" s="370"/>
      <c r="AA130" s="61">
        <v>0</v>
      </c>
      <c r="AB130" s="351"/>
      <c r="AC130" s="61">
        <v>0</v>
      </c>
      <c r="AD130" s="351"/>
      <c r="AE130" s="73" t="e">
        <f t="shared" si="303"/>
        <v>#N/A</v>
      </c>
      <c r="AF130" s="356"/>
      <c r="AG130" s="73" t="e">
        <f t="shared" si="304"/>
        <v>#N/A</v>
      </c>
      <c r="AH130" s="356"/>
      <c r="AI130" s="221">
        <f t="shared" si="329"/>
        <v>29.26</v>
      </c>
      <c r="AJ130" s="78">
        <f t="shared" ref="AJ130:AP130" si="341">AJ129</f>
        <v>0.26750000000000002</v>
      </c>
      <c r="AK130" s="79">
        <f t="shared" si="341"/>
        <v>9.9166666666666661</v>
      </c>
      <c r="AL130" s="80">
        <f t="shared" si="341"/>
        <v>187</v>
      </c>
      <c r="AM130" s="78">
        <f t="shared" si="341"/>
        <v>9.737942583732058E-2</v>
      </c>
      <c r="AN130" s="80">
        <f t="shared" si="341"/>
        <v>143</v>
      </c>
      <c r="AO130" s="78">
        <f t="shared" si="341"/>
        <v>0.21099999999999999</v>
      </c>
      <c r="AP130" s="88">
        <f t="shared" si="341"/>
        <v>12</v>
      </c>
      <c r="AQ130" s="64">
        <f t="shared" si="195"/>
        <v>21.5</v>
      </c>
      <c r="AR130" s="64">
        <f t="shared" si="196"/>
        <v>11.5</v>
      </c>
      <c r="AS130" s="88">
        <f t="shared" si="197"/>
        <v>1.1830000000000001</v>
      </c>
      <c r="AT130" s="91">
        <f t="shared" si="249"/>
        <v>283</v>
      </c>
      <c r="AU130" s="94"/>
      <c r="AV130" s="95"/>
      <c r="AW130" s="56">
        <f t="shared" ref="AW130:AW193" si="342">AC130-AA130</f>
        <v>0</v>
      </c>
      <c r="AX130" s="351"/>
      <c r="AY130" s="100">
        <f t="shared" si="201"/>
        <v>9.9166666666666661</v>
      </c>
      <c r="AZ130" s="360"/>
      <c r="BA130" s="91">
        <f t="shared" si="321"/>
        <v>-1204.5292136666665</v>
      </c>
      <c r="BB130" s="5">
        <f t="shared" si="306"/>
        <v>-9.9166666666666661</v>
      </c>
      <c r="BC130" s="363"/>
      <c r="BD130" s="91" t="e">
        <f t="shared" ref="BD130:BD193" ca="1" si="343">IF(TODAY()&lt;B131,IF(E130&gt;0,AY130+AU130,#N/A),AY130+AU130)</f>
        <v>#N/A</v>
      </c>
      <c r="BE130" s="91" t="e">
        <f t="shared" ref="BE130:BE193" ca="1" si="344">IF(TODAY()&lt;B131,IF(E130&gt;0,BD130+AT130,#N/A),BD130+AT130)</f>
        <v>#N/A</v>
      </c>
      <c r="BF130" s="91">
        <f t="shared" ref="BF130:BF193" si="345">(M130*AJ130+AK130)+(U130*AO130+AP130)+(S130*AJ130+AK130)</f>
        <v>31.833333333333329</v>
      </c>
      <c r="BG130" s="91" t="e">
        <f t="shared" ref="BG130:BG193" ca="1" si="346">BF130-BD130</f>
        <v>#N/A</v>
      </c>
      <c r="BH130" s="91" t="e">
        <f t="shared" ca="1" si="221"/>
        <v>#N/A</v>
      </c>
      <c r="BI130" s="10" t="e">
        <f t="shared" ca="1" si="192"/>
        <v>#N/A</v>
      </c>
      <c r="BJ130" s="104">
        <f>((M130+Q130)*AJ130+AK130)+((U130-W130+W130/('Vergleich Holz Strom'!$B$8-0.6))*AO130+AP130)</f>
        <v>21.916666666666664</v>
      </c>
      <c r="BK130" s="10" t="e">
        <f t="shared" ca="1" si="307"/>
        <v>#N/A</v>
      </c>
      <c r="BL130" s="379"/>
      <c r="BM130" s="104" t="e">
        <f t="shared" ca="1" si="188"/>
        <v>#N/A</v>
      </c>
      <c r="BN130" s="40" t="e">
        <f ca="1">IF(ISNUMBER(BK130),BN129+SUMIF(BK122:BK133,"&lt;&gt;#NV",BK122:BK133)/COUNTIF(BK122:BK133,"&lt;&gt;#NV"),#N/A)</f>
        <v>#N/A</v>
      </c>
      <c r="BO130" s="10" t="e">
        <f t="shared" ca="1" si="316"/>
        <v>#N/A</v>
      </c>
      <c r="BP130" s="104" t="e">
        <f t="shared" ca="1" si="308"/>
        <v>#N/A</v>
      </c>
      <c r="BQ130" s="104">
        <f t="shared" ca="1" si="319"/>
        <v>-60727.734645765224</v>
      </c>
      <c r="BR130" s="10">
        <f t="shared" ref="BR130:BR193" si="347">M130*AJ130+AK130</f>
        <v>9.9166666666666661</v>
      </c>
      <c r="BS130" s="311"/>
      <c r="BT130" s="307"/>
      <c r="BU130" s="295">
        <f t="shared" ref="BU130:BU193" si="348">Q130*AM130</f>
        <v>0</v>
      </c>
      <c r="BV130" s="323"/>
      <c r="BW130" s="299">
        <f t="shared" ref="BW130:BW193" si="349">Q130*AJ130</f>
        <v>0</v>
      </c>
      <c r="BX130" s="295">
        <f t="shared" ref="BX130:BX193" si="350">BW130-BU130</f>
        <v>0</v>
      </c>
      <c r="BY130" s="382"/>
      <c r="BZ130" s="299">
        <f t="shared" si="189"/>
        <v>0</v>
      </c>
      <c r="CA130" s="295">
        <f t="shared" si="193"/>
        <v>0</v>
      </c>
      <c r="CB130" s="323"/>
      <c r="CC130" s="314">
        <f t="shared" si="331"/>
        <v>0</v>
      </c>
      <c r="CD130" s="326"/>
      <c r="CE130" s="299">
        <f t="shared" ref="CE130:CE193" si="351">CC130/AR130*AS130</f>
        <v>0</v>
      </c>
      <c r="CF130" s="284">
        <f t="shared" si="332"/>
        <v>0</v>
      </c>
      <c r="CG130" s="323"/>
      <c r="CH130" s="302">
        <f t="shared" si="217"/>
        <v>0</v>
      </c>
      <c r="CI130" s="108">
        <f t="shared" ref="CI130:CI193" si="352">(S130*AJ130)</f>
        <v>0</v>
      </c>
      <c r="CJ130" s="200">
        <f t="shared" ref="CJ130:CJ193" si="353">((U130-W130)*AJ130)+(W130*AM130)</f>
        <v>0</v>
      </c>
      <c r="CK130" s="197">
        <f t="shared" si="199"/>
        <v>0</v>
      </c>
      <c r="CL130" s="203">
        <f t="shared" ref="CL130:CL193" si="354">U130*AO130+AP130</f>
        <v>12</v>
      </c>
      <c r="CM130" s="4">
        <f>U130*Jahresdaten!$AD$2</f>
        <v>0</v>
      </c>
      <c r="CN130" s="112">
        <f>CJ130*Jahresdaten!$AD$2</f>
        <v>0</v>
      </c>
      <c r="CO130" s="366"/>
      <c r="CP130" s="116">
        <f>U130*Jahresdaten!$AD$3</f>
        <v>0</v>
      </c>
      <c r="CQ130" s="12">
        <f>CJ130*Jahresdaten!$AD$3</f>
        <v>0</v>
      </c>
      <c r="CR130" s="353"/>
      <c r="CS130" s="14"/>
      <c r="CT130" s="136"/>
      <c r="CU130" s="140" t="str">
        <f>IF(CT130=0,"",CT130*'Vergleich Holz Strom'!$B$2)</f>
        <v/>
      </c>
      <c r="CV130" s="353"/>
      <c r="CW130" s="366"/>
      <c r="CX130" s="345"/>
      <c r="CY130" s="345"/>
      <c r="CZ130" s="345"/>
      <c r="DA130" s="348"/>
      <c r="DB130" s="94"/>
      <c r="DC130" s="88">
        <f t="shared" si="281"/>
        <v>20736.261333333325</v>
      </c>
      <c r="DD130" s="94"/>
      <c r="DE130" s="88">
        <f t="shared" si="284"/>
        <v>-15840.112547000001</v>
      </c>
      <c r="DF130" s="100" t="e">
        <f ca="1">BE130+(SUM(CS122:CS133)/12)</f>
        <v>#N/A</v>
      </c>
      <c r="DG130" s="351"/>
      <c r="DH130" s="8">
        <f t="shared" si="322"/>
        <v>0</v>
      </c>
      <c r="DI130" s="123">
        <f t="shared" si="309"/>
        <v>17200</v>
      </c>
      <c r="DJ130" s="2">
        <f t="shared" si="323"/>
        <v>0</v>
      </c>
      <c r="DK130" s="127">
        <f>DK133/12*9</f>
        <v>5850</v>
      </c>
      <c r="DL130" s="2">
        <f t="shared" si="324"/>
        <v>650</v>
      </c>
      <c r="DM130" s="130">
        <f t="shared" si="325"/>
        <v>0</v>
      </c>
      <c r="DN130" s="3">
        <f>DN133/12*9</f>
        <v>2250</v>
      </c>
      <c r="DO130" s="130">
        <f t="shared" si="326"/>
        <v>250</v>
      </c>
      <c r="DP130" s="4">
        <f t="shared" si="327"/>
        <v>0</v>
      </c>
      <c r="DQ130" s="116">
        <f t="shared" si="328"/>
        <v>9100</v>
      </c>
      <c r="DR130" s="116">
        <f t="shared" si="333"/>
        <v>300</v>
      </c>
    </row>
    <row r="131" spans="1:122" ht="14.25" customHeight="1" thickBot="1" x14ac:dyDescent="0.2">
      <c r="A131" s="416"/>
      <c r="B131" s="16">
        <v>47300</v>
      </c>
      <c r="C131" s="207">
        <f>'PV-Felder'!$I$8</f>
        <v>3593.8</v>
      </c>
      <c r="D131" s="351"/>
      <c r="E131" s="61">
        <v>0</v>
      </c>
      <c r="F131" s="351"/>
      <c r="G131" s="56" t="e">
        <f t="shared" ca="1" si="339"/>
        <v>#N/A</v>
      </c>
      <c r="H131" s="351"/>
      <c r="I131" s="61">
        <v>0</v>
      </c>
      <c r="J131" s="351"/>
      <c r="K131" s="61">
        <v>0</v>
      </c>
      <c r="L131" s="351"/>
      <c r="M131" s="65">
        <f t="shared" si="190"/>
        <v>0</v>
      </c>
      <c r="N131" s="373"/>
      <c r="O131" s="288"/>
      <c r="P131" s="288"/>
      <c r="Q131" s="286">
        <f t="shared" si="340"/>
        <v>0</v>
      </c>
      <c r="R131" s="334"/>
      <c r="S131" s="61">
        <v>0</v>
      </c>
      <c r="T131" s="376"/>
      <c r="U131" s="61">
        <v>0</v>
      </c>
      <c r="V131" s="342"/>
      <c r="W131" s="61">
        <v>0</v>
      </c>
      <c r="X131" s="342"/>
      <c r="Y131" s="211" t="e">
        <f t="shared" si="272"/>
        <v>#N/A</v>
      </c>
      <c r="Z131" s="370"/>
      <c r="AA131" s="61">
        <v>0</v>
      </c>
      <c r="AB131" s="351"/>
      <c r="AC131" s="61">
        <v>0</v>
      </c>
      <c r="AD131" s="351"/>
      <c r="AE131" s="73" t="e">
        <f t="shared" si="303"/>
        <v>#N/A</v>
      </c>
      <c r="AF131" s="356"/>
      <c r="AG131" s="73" t="e">
        <f t="shared" si="304"/>
        <v>#N/A</v>
      </c>
      <c r="AH131" s="356"/>
      <c r="AI131" s="221">
        <f t="shared" si="329"/>
        <v>29.26</v>
      </c>
      <c r="AJ131" s="78">
        <f t="shared" ref="AJ131:AP131" si="355">AJ130</f>
        <v>0.26750000000000002</v>
      </c>
      <c r="AK131" s="79">
        <f t="shared" si="355"/>
        <v>9.9166666666666661</v>
      </c>
      <c r="AL131" s="80">
        <f t="shared" si="355"/>
        <v>187</v>
      </c>
      <c r="AM131" s="78">
        <f t="shared" si="355"/>
        <v>9.737942583732058E-2</v>
      </c>
      <c r="AN131" s="80">
        <f t="shared" si="355"/>
        <v>143</v>
      </c>
      <c r="AO131" s="78">
        <f t="shared" si="355"/>
        <v>0.21099999999999999</v>
      </c>
      <c r="AP131" s="88">
        <f t="shared" si="355"/>
        <v>12</v>
      </c>
      <c r="AQ131" s="64">
        <f t="shared" si="195"/>
        <v>21.5</v>
      </c>
      <c r="AR131" s="64">
        <f t="shared" si="196"/>
        <v>11.5</v>
      </c>
      <c r="AS131" s="88">
        <f t="shared" si="197"/>
        <v>1.1830000000000001</v>
      </c>
      <c r="AT131" s="91">
        <f t="shared" si="249"/>
        <v>283</v>
      </c>
      <c r="AU131" s="94"/>
      <c r="AV131" s="95"/>
      <c r="AW131" s="56">
        <f t="shared" si="342"/>
        <v>0</v>
      </c>
      <c r="AX131" s="351"/>
      <c r="AY131" s="100">
        <f t="shared" si="201"/>
        <v>9.9166666666666661</v>
      </c>
      <c r="AZ131" s="360"/>
      <c r="BA131" s="91">
        <f t="shared" si="321"/>
        <v>-1214.4458803333332</v>
      </c>
      <c r="BB131" s="5">
        <f t="shared" si="306"/>
        <v>-9.9166666666666661</v>
      </c>
      <c r="BC131" s="363"/>
      <c r="BD131" s="91" t="e">
        <f t="shared" ca="1" si="343"/>
        <v>#N/A</v>
      </c>
      <c r="BE131" s="91" t="e">
        <f t="shared" ca="1" si="344"/>
        <v>#N/A</v>
      </c>
      <c r="BF131" s="91">
        <f t="shared" si="345"/>
        <v>31.833333333333329</v>
      </c>
      <c r="BG131" s="91" t="e">
        <f t="shared" ca="1" si="346"/>
        <v>#N/A</v>
      </c>
      <c r="BH131" s="91" t="e">
        <f t="shared" ca="1" si="221"/>
        <v>#N/A</v>
      </c>
      <c r="BI131" s="10" t="e">
        <f t="shared" ca="1" si="192"/>
        <v>#N/A</v>
      </c>
      <c r="BJ131" s="104">
        <f>((M131+Q131)*AJ131+AK131)+((U131-W131+W131/('Vergleich Holz Strom'!$B$8-0.6))*AO131+AP131)</f>
        <v>21.916666666666664</v>
      </c>
      <c r="BK131" s="10" t="e">
        <f t="shared" ca="1" si="307"/>
        <v>#N/A</v>
      </c>
      <c r="BL131" s="379"/>
      <c r="BM131" s="104" t="e">
        <f t="shared" ref="BM131:BM194" ca="1" si="356">BM130+BK131</f>
        <v>#N/A</v>
      </c>
      <c r="BN131" s="40" t="e">
        <f ca="1">IF(ISNUMBER(BK131),BN130+SUMIF(BK122:BK133,"&lt;&gt;#NV",BK122:BK133)/COUNTIF(BK122:BK133,"&lt;&gt;#NV"),#N/A)</f>
        <v>#N/A</v>
      </c>
      <c r="BO131" s="10" t="e">
        <f ca="1">BK131+AT131+AU131</f>
        <v>#N/A</v>
      </c>
      <c r="BP131" s="104" t="e">
        <f t="shared" ca="1" si="308"/>
        <v>#N/A</v>
      </c>
      <c r="BQ131" s="104">
        <f t="shared" ca="1" si="319"/>
        <v>-60711.537114901032</v>
      </c>
      <c r="BR131" s="10">
        <f t="shared" si="347"/>
        <v>9.9166666666666661</v>
      </c>
      <c r="BS131" s="311"/>
      <c r="BT131" s="307"/>
      <c r="BU131" s="295">
        <f t="shared" si="348"/>
        <v>0</v>
      </c>
      <c r="BV131" s="323"/>
      <c r="BW131" s="299">
        <f t="shared" si="349"/>
        <v>0</v>
      </c>
      <c r="BX131" s="295">
        <f t="shared" si="350"/>
        <v>0</v>
      </c>
      <c r="BY131" s="382"/>
      <c r="BZ131" s="299">
        <f t="shared" ref="BZ131:BZ194" si="357">BZ130+BX131</f>
        <v>0</v>
      </c>
      <c r="CA131" s="295">
        <f t="shared" si="193"/>
        <v>0</v>
      </c>
      <c r="CB131" s="323"/>
      <c r="CC131" s="314">
        <f t="shared" si="331"/>
        <v>0</v>
      </c>
      <c r="CD131" s="326"/>
      <c r="CE131" s="299">
        <f t="shared" si="351"/>
        <v>0</v>
      </c>
      <c r="CF131" s="284">
        <f t="shared" si="332"/>
        <v>0</v>
      </c>
      <c r="CG131" s="323"/>
      <c r="CH131" s="302">
        <f t="shared" si="217"/>
        <v>0</v>
      </c>
      <c r="CI131" s="108">
        <f t="shared" si="352"/>
        <v>0</v>
      </c>
      <c r="CJ131" s="200">
        <f t="shared" si="353"/>
        <v>0</v>
      </c>
      <c r="CK131" s="197">
        <f t="shared" si="199"/>
        <v>0</v>
      </c>
      <c r="CL131" s="203">
        <f t="shared" si="354"/>
        <v>12</v>
      </c>
      <c r="CM131" s="4">
        <f>U131*Jahresdaten!$AD$2</f>
        <v>0</v>
      </c>
      <c r="CN131" s="112">
        <f>CJ131*Jahresdaten!$AD$2</f>
        <v>0</v>
      </c>
      <c r="CO131" s="366"/>
      <c r="CP131" s="116">
        <f>U131*Jahresdaten!$AD$3</f>
        <v>0</v>
      </c>
      <c r="CQ131" s="12">
        <f>CJ131*Jahresdaten!$AD$3</f>
        <v>0</v>
      </c>
      <c r="CR131" s="353"/>
      <c r="CS131" s="14"/>
      <c r="CT131" s="136"/>
      <c r="CU131" s="140" t="str">
        <f>IF(CT131=0,"",CT131*'Vergleich Holz Strom'!$B$2)</f>
        <v/>
      </c>
      <c r="CV131" s="353"/>
      <c r="CW131" s="366"/>
      <c r="CX131" s="345"/>
      <c r="CY131" s="345"/>
      <c r="CZ131" s="345"/>
      <c r="DA131" s="348"/>
      <c r="DB131" s="94"/>
      <c r="DC131" s="88">
        <f t="shared" si="281"/>
        <v>20913.344666666657</v>
      </c>
      <c r="DD131" s="94"/>
      <c r="DE131" s="88">
        <f t="shared" si="284"/>
        <v>-15983.112547000001</v>
      </c>
      <c r="DF131" s="100" t="e">
        <f ca="1">BE131+(SUM(CS122:CS133)/12)</f>
        <v>#N/A</v>
      </c>
      <c r="DG131" s="351"/>
      <c r="DH131" s="8">
        <f t="shared" si="322"/>
        <v>0</v>
      </c>
      <c r="DI131" s="123">
        <f t="shared" si="309"/>
        <v>18250</v>
      </c>
      <c r="DJ131" s="2">
        <f t="shared" si="323"/>
        <v>0</v>
      </c>
      <c r="DK131" s="127">
        <f>DK133/12*10</f>
        <v>6500</v>
      </c>
      <c r="DL131" s="2">
        <f t="shared" si="324"/>
        <v>650</v>
      </c>
      <c r="DM131" s="130">
        <f t="shared" si="325"/>
        <v>0</v>
      </c>
      <c r="DN131" s="3">
        <f>DN133/12*10</f>
        <v>2500</v>
      </c>
      <c r="DO131" s="130">
        <f t="shared" si="326"/>
        <v>250</v>
      </c>
      <c r="DP131" s="4">
        <f t="shared" si="327"/>
        <v>0</v>
      </c>
      <c r="DQ131" s="116">
        <f t="shared" si="328"/>
        <v>9250</v>
      </c>
      <c r="DR131" s="116">
        <f t="shared" si="333"/>
        <v>150</v>
      </c>
    </row>
    <row r="132" spans="1:122" ht="14.25" customHeight="1" thickBot="1" x14ac:dyDescent="0.2">
      <c r="A132" s="416"/>
      <c r="B132" s="16">
        <v>47331</v>
      </c>
      <c r="C132" s="207">
        <f>'PV-Felder'!$I$9</f>
        <v>3065.7</v>
      </c>
      <c r="D132" s="351"/>
      <c r="E132" s="61">
        <v>0</v>
      </c>
      <c r="F132" s="351"/>
      <c r="G132" s="56" t="e">
        <f t="shared" ca="1" si="339"/>
        <v>#N/A</v>
      </c>
      <c r="H132" s="351"/>
      <c r="I132" s="61">
        <v>0</v>
      </c>
      <c r="J132" s="351"/>
      <c r="K132" s="61">
        <v>0</v>
      </c>
      <c r="L132" s="351"/>
      <c r="M132" s="65">
        <f t="shared" ref="M132:M195" si="358">(E132+AA132)-((O132-P132)+S132+U132+AC132)</f>
        <v>0</v>
      </c>
      <c r="N132" s="373"/>
      <c r="O132" s="288"/>
      <c r="P132" s="288"/>
      <c r="Q132" s="286">
        <f t="shared" si="340"/>
        <v>0</v>
      </c>
      <c r="R132" s="334"/>
      <c r="S132" s="61">
        <v>0</v>
      </c>
      <c r="T132" s="376"/>
      <c r="U132" s="61">
        <v>0</v>
      </c>
      <c r="V132" s="342"/>
      <c r="W132" s="61">
        <v>0</v>
      </c>
      <c r="X132" s="342"/>
      <c r="Y132" s="211" t="e">
        <f t="shared" si="272"/>
        <v>#N/A</v>
      </c>
      <c r="Z132" s="370"/>
      <c r="AA132" s="61">
        <v>0</v>
      </c>
      <c r="AB132" s="351"/>
      <c r="AC132" s="61">
        <v>0</v>
      </c>
      <c r="AD132" s="351"/>
      <c r="AE132" s="73" t="e">
        <f t="shared" si="303"/>
        <v>#N/A</v>
      </c>
      <c r="AF132" s="356"/>
      <c r="AG132" s="73" t="e">
        <f t="shared" si="304"/>
        <v>#N/A</v>
      </c>
      <c r="AH132" s="356"/>
      <c r="AI132" s="221">
        <f t="shared" si="329"/>
        <v>29.26</v>
      </c>
      <c r="AJ132" s="78">
        <f t="shared" ref="AJ132:AP132" si="359">AJ131</f>
        <v>0.26750000000000002</v>
      </c>
      <c r="AK132" s="79">
        <f t="shared" si="359"/>
        <v>9.9166666666666661</v>
      </c>
      <c r="AL132" s="80">
        <f t="shared" si="359"/>
        <v>187</v>
      </c>
      <c r="AM132" s="78">
        <f t="shared" si="359"/>
        <v>9.737942583732058E-2</v>
      </c>
      <c r="AN132" s="80">
        <f t="shared" si="359"/>
        <v>143</v>
      </c>
      <c r="AO132" s="78">
        <f t="shared" si="359"/>
        <v>0.21099999999999999</v>
      </c>
      <c r="AP132" s="88">
        <f t="shared" si="359"/>
        <v>12</v>
      </c>
      <c r="AQ132" s="64">
        <f t="shared" si="195"/>
        <v>21.5</v>
      </c>
      <c r="AR132" s="64">
        <f t="shared" si="196"/>
        <v>11.5</v>
      </c>
      <c r="AS132" s="88">
        <f t="shared" si="197"/>
        <v>1.1830000000000001</v>
      </c>
      <c r="AT132" s="91">
        <f t="shared" si="249"/>
        <v>283</v>
      </c>
      <c r="AU132" s="94"/>
      <c r="AV132" s="95"/>
      <c r="AW132" s="56">
        <f t="shared" si="342"/>
        <v>0</v>
      </c>
      <c r="AX132" s="351"/>
      <c r="AY132" s="100">
        <f t="shared" si="201"/>
        <v>9.9166666666666661</v>
      </c>
      <c r="AZ132" s="360"/>
      <c r="BA132" s="91">
        <f t="shared" si="321"/>
        <v>-1224.3625469999999</v>
      </c>
      <c r="BB132" s="5">
        <f t="shared" si="306"/>
        <v>-9.9166666666666661</v>
      </c>
      <c r="BC132" s="363"/>
      <c r="BD132" s="91" t="e">
        <f t="shared" ca="1" si="343"/>
        <v>#N/A</v>
      </c>
      <c r="BE132" s="91" t="e">
        <f t="shared" ca="1" si="344"/>
        <v>#N/A</v>
      </c>
      <c r="BF132" s="91">
        <f t="shared" si="345"/>
        <v>31.833333333333329</v>
      </c>
      <c r="BG132" s="91" t="e">
        <f t="shared" ca="1" si="346"/>
        <v>#N/A</v>
      </c>
      <c r="BH132" s="91" t="e">
        <f t="shared" ca="1" si="221"/>
        <v>#N/A</v>
      </c>
      <c r="BI132" s="10" t="e">
        <f t="shared" ref="BI132:BI195" ca="1" si="360">BE132-(S132*AJ132)</f>
        <v>#N/A</v>
      </c>
      <c r="BJ132" s="104">
        <f>((M132+Q132)*AJ132+AK132)+((U132-W132+W132/('Vergleich Holz Strom'!$B$8-0.6))*AO132+AP132)</f>
        <v>21.916666666666664</v>
      </c>
      <c r="BK132" s="10" t="e">
        <f t="shared" ca="1" si="307"/>
        <v>#N/A</v>
      </c>
      <c r="BL132" s="379"/>
      <c r="BM132" s="104" t="e">
        <f t="shared" ca="1" si="356"/>
        <v>#N/A</v>
      </c>
      <c r="BN132" s="40" t="e">
        <f ca="1">IF(ISNUMBER(BK132),BN131+SUMIF(BK122:BK133,"&lt;&gt;#NV",BK122:BK133)/COUNTIF(BK122:BK133,"&lt;&gt;#NV"),#N/A)</f>
        <v>#N/A</v>
      </c>
      <c r="BO132" s="10" t="e">
        <f t="shared" ref="BO132:BO142" ca="1" si="361">BK132+AT132+AU132</f>
        <v>#N/A</v>
      </c>
      <c r="BP132" s="104" t="e">
        <f t="shared" ca="1" si="308"/>
        <v>#N/A</v>
      </c>
      <c r="BQ132" s="104">
        <f t="shared" ca="1" si="319"/>
        <v>-60695.339584036839</v>
      </c>
      <c r="BR132" s="10">
        <f t="shared" si="347"/>
        <v>9.9166666666666661</v>
      </c>
      <c r="BS132" s="311"/>
      <c r="BT132" s="307"/>
      <c r="BU132" s="295">
        <f t="shared" si="348"/>
        <v>0</v>
      </c>
      <c r="BV132" s="323"/>
      <c r="BW132" s="299">
        <f t="shared" si="349"/>
        <v>0</v>
      </c>
      <c r="BX132" s="295">
        <f t="shared" si="350"/>
        <v>0</v>
      </c>
      <c r="BY132" s="382"/>
      <c r="BZ132" s="299">
        <f t="shared" si="357"/>
        <v>0</v>
      </c>
      <c r="CA132" s="295">
        <f t="shared" ref="CA132:CA195" si="362">BT132+BU132</f>
        <v>0</v>
      </c>
      <c r="CB132" s="323"/>
      <c r="CC132" s="314">
        <f t="shared" si="331"/>
        <v>0</v>
      </c>
      <c r="CD132" s="326"/>
      <c r="CE132" s="299">
        <f t="shared" si="351"/>
        <v>0</v>
      </c>
      <c r="CF132" s="284">
        <f t="shared" si="332"/>
        <v>0</v>
      </c>
      <c r="CG132" s="323"/>
      <c r="CH132" s="302">
        <f t="shared" si="217"/>
        <v>0</v>
      </c>
      <c r="CI132" s="108">
        <f t="shared" si="352"/>
        <v>0</v>
      </c>
      <c r="CJ132" s="200">
        <f t="shared" si="353"/>
        <v>0</v>
      </c>
      <c r="CK132" s="197">
        <f t="shared" si="199"/>
        <v>0</v>
      </c>
      <c r="CL132" s="203">
        <f t="shared" si="354"/>
        <v>12</v>
      </c>
      <c r="CM132" s="4">
        <f>U132*Jahresdaten!$AD$2</f>
        <v>0</v>
      </c>
      <c r="CN132" s="112">
        <f>CJ132*Jahresdaten!$AD$2</f>
        <v>0</v>
      </c>
      <c r="CO132" s="366"/>
      <c r="CP132" s="116">
        <f>U132*Jahresdaten!$AD$3</f>
        <v>0</v>
      </c>
      <c r="CQ132" s="12">
        <f>CJ132*Jahresdaten!$AD$3</f>
        <v>0</v>
      </c>
      <c r="CR132" s="353"/>
      <c r="CS132" s="14"/>
      <c r="CT132" s="136"/>
      <c r="CU132" s="140" t="str">
        <f>IF(CT132=0,"",CT132*'Vergleich Holz Strom'!$B$2)</f>
        <v/>
      </c>
      <c r="CV132" s="353"/>
      <c r="CW132" s="366"/>
      <c r="CX132" s="345"/>
      <c r="CY132" s="345"/>
      <c r="CZ132" s="345"/>
      <c r="DA132" s="348"/>
      <c r="DB132" s="94"/>
      <c r="DC132" s="88">
        <f t="shared" si="281"/>
        <v>21090.427999999989</v>
      </c>
      <c r="DD132" s="94"/>
      <c r="DE132" s="88">
        <f t="shared" si="284"/>
        <v>-16126.112547000001</v>
      </c>
      <c r="DF132" s="100" t="e">
        <f ca="1">BE132+(SUM(CS122:CS133)/12)</f>
        <v>#N/A</v>
      </c>
      <c r="DG132" s="351"/>
      <c r="DH132" s="8">
        <f t="shared" si="322"/>
        <v>0</v>
      </c>
      <c r="DI132" s="123">
        <f t="shared" si="309"/>
        <v>19300</v>
      </c>
      <c r="DJ132" s="2">
        <f t="shared" si="323"/>
        <v>0</v>
      </c>
      <c r="DK132" s="127">
        <f>DK133/12*11</f>
        <v>7150</v>
      </c>
      <c r="DL132" s="2">
        <f t="shared" si="324"/>
        <v>650</v>
      </c>
      <c r="DM132" s="130">
        <f t="shared" si="325"/>
        <v>0</v>
      </c>
      <c r="DN132" s="3">
        <f>DN133/12*11</f>
        <v>2750</v>
      </c>
      <c r="DO132" s="130">
        <f t="shared" si="326"/>
        <v>250</v>
      </c>
      <c r="DP132" s="4">
        <f t="shared" si="327"/>
        <v>0</v>
      </c>
      <c r="DQ132" s="116">
        <f t="shared" si="328"/>
        <v>9400</v>
      </c>
      <c r="DR132" s="116">
        <f t="shared" si="333"/>
        <v>150</v>
      </c>
    </row>
    <row r="133" spans="1:122" s="28" customFormat="1" ht="15" customHeight="1" thickBot="1" x14ac:dyDescent="0.2">
      <c r="A133" s="417"/>
      <c r="B133" s="18">
        <v>47362</v>
      </c>
      <c r="C133" s="208">
        <f>'PV-Felder'!$I$10</f>
        <v>2246.7000000000003</v>
      </c>
      <c r="D133" s="352"/>
      <c r="E133" s="63">
        <v>0</v>
      </c>
      <c r="F133" s="352"/>
      <c r="G133" s="57" t="e">
        <f t="shared" ca="1" si="339"/>
        <v>#N/A</v>
      </c>
      <c r="H133" s="352"/>
      <c r="I133" s="63">
        <v>0</v>
      </c>
      <c r="J133" s="352"/>
      <c r="K133" s="63">
        <v>0</v>
      </c>
      <c r="L133" s="352"/>
      <c r="M133" s="67">
        <f t="shared" si="358"/>
        <v>0</v>
      </c>
      <c r="N133" s="374"/>
      <c r="O133" s="290"/>
      <c r="P133" s="290"/>
      <c r="Q133" s="289">
        <f t="shared" si="340"/>
        <v>0</v>
      </c>
      <c r="R133" s="334"/>
      <c r="S133" s="63">
        <v>0</v>
      </c>
      <c r="T133" s="377"/>
      <c r="U133" s="63">
        <v>0</v>
      </c>
      <c r="V133" s="343"/>
      <c r="W133" s="63">
        <v>0</v>
      </c>
      <c r="X133" s="343"/>
      <c r="Y133" s="213" t="e">
        <f t="shared" si="272"/>
        <v>#N/A</v>
      </c>
      <c r="Z133" s="371"/>
      <c r="AA133" s="63">
        <v>0</v>
      </c>
      <c r="AB133" s="352"/>
      <c r="AC133" s="63">
        <v>0</v>
      </c>
      <c r="AD133" s="352"/>
      <c r="AE133" s="75" t="e">
        <f t="shared" si="303"/>
        <v>#N/A</v>
      </c>
      <c r="AF133" s="357"/>
      <c r="AG133" s="75" t="e">
        <f t="shared" si="304"/>
        <v>#N/A</v>
      </c>
      <c r="AH133" s="357"/>
      <c r="AI133" s="223">
        <f>AI132</f>
        <v>29.26</v>
      </c>
      <c r="AJ133" s="83">
        <f t="shared" ref="AJ133:AP133" si="363">AJ132</f>
        <v>0.26750000000000002</v>
      </c>
      <c r="AK133" s="21">
        <f t="shared" si="363"/>
        <v>9.9166666666666661</v>
      </c>
      <c r="AL133" s="84">
        <f t="shared" si="363"/>
        <v>187</v>
      </c>
      <c r="AM133" s="83">
        <f t="shared" si="363"/>
        <v>9.737942583732058E-2</v>
      </c>
      <c r="AN133" s="84">
        <f t="shared" si="363"/>
        <v>143</v>
      </c>
      <c r="AO133" s="83">
        <f t="shared" si="363"/>
        <v>0.21099999999999999</v>
      </c>
      <c r="AP133" s="90">
        <f t="shared" si="363"/>
        <v>12</v>
      </c>
      <c r="AQ133" s="125">
        <f t="shared" ref="AQ133:AQ196" si="364">AQ132</f>
        <v>21.5</v>
      </c>
      <c r="AR133" s="125">
        <f t="shared" ref="AR133:AR196" si="365">AR132</f>
        <v>11.5</v>
      </c>
      <c r="AS133" s="92">
        <f t="shared" ref="AS133:AS196" si="366">AS132</f>
        <v>1.1830000000000001</v>
      </c>
      <c r="AT133" s="92">
        <f t="shared" si="249"/>
        <v>283</v>
      </c>
      <c r="AU133" s="98"/>
      <c r="AV133" s="99"/>
      <c r="AW133" s="57">
        <f t="shared" si="342"/>
        <v>0</v>
      </c>
      <c r="AX133" s="352"/>
      <c r="AY133" s="102">
        <f t="shared" si="201"/>
        <v>9.9166666666666661</v>
      </c>
      <c r="AZ133" s="361"/>
      <c r="BA133" s="92">
        <f t="shared" si="321"/>
        <v>-1234.2792136666667</v>
      </c>
      <c r="BB133" s="22">
        <f t="shared" si="306"/>
        <v>-9.9166666666666661</v>
      </c>
      <c r="BC133" s="364"/>
      <c r="BD133" s="92" t="e">
        <f t="shared" ca="1" si="343"/>
        <v>#N/A</v>
      </c>
      <c r="BE133" s="92" t="e">
        <f t="shared" ca="1" si="344"/>
        <v>#N/A</v>
      </c>
      <c r="BF133" s="92">
        <f t="shared" si="345"/>
        <v>31.833333333333329</v>
      </c>
      <c r="BG133" s="92" t="e">
        <f t="shared" ca="1" si="346"/>
        <v>#N/A</v>
      </c>
      <c r="BH133" s="92" t="e">
        <f t="shared" ca="1" si="221"/>
        <v>#N/A</v>
      </c>
      <c r="BI133" s="24" t="e">
        <f t="shared" ca="1" si="360"/>
        <v>#N/A</v>
      </c>
      <c r="BJ133" s="106">
        <f>((M133+Q133)*AJ133+AK133)+((U133-W133+W133/('Vergleich Holz Strom'!$B$8-0.6))*AO133+AP133)</f>
        <v>21.916666666666664</v>
      </c>
      <c r="BK133" s="24" t="e">
        <f t="shared" ca="1" si="307"/>
        <v>#N/A</v>
      </c>
      <c r="BL133" s="380"/>
      <c r="BM133" s="106" t="e">
        <f t="shared" ca="1" si="356"/>
        <v>#N/A</v>
      </c>
      <c r="BN133" s="226" t="e">
        <f ca="1">IF(ISNUMBER(BK133),BN132+SUMIF(BK122:BK133,"&lt;&gt;#NV",BK122:BK133)/COUNTIF(BK122:BK133,"&lt;&gt;#NV"),#N/A)</f>
        <v>#N/A</v>
      </c>
      <c r="BO133" s="318" t="e">
        <f t="shared" ca="1" si="361"/>
        <v>#N/A</v>
      </c>
      <c r="BP133" s="106" t="e">
        <f t="shared" ca="1" si="308"/>
        <v>#N/A</v>
      </c>
      <c r="BQ133" s="106">
        <f t="shared" ca="1" si="319"/>
        <v>-60679.142053172647</v>
      </c>
      <c r="BR133" s="24">
        <f t="shared" si="347"/>
        <v>9.9166666666666661</v>
      </c>
      <c r="BS133" s="312"/>
      <c r="BT133" s="308"/>
      <c r="BU133" s="296">
        <f t="shared" si="348"/>
        <v>0</v>
      </c>
      <c r="BV133" s="324"/>
      <c r="BW133" s="292">
        <f t="shared" si="349"/>
        <v>0</v>
      </c>
      <c r="BX133" s="295">
        <f t="shared" si="350"/>
        <v>0</v>
      </c>
      <c r="BY133" s="382"/>
      <c r="BZ133" s="299">
        <f t="shared" si="357"/>
        <v>0</v>
      </c>
      <c r="CA133" s="296">
        <f t="shared" si="362"/>
        <v>0</v>
      </c>
      <c r="CB133" s="324"/>
      <c r="CC133" s="315">
        <f t="shared" si="331"/>
        <v>0</v>
      </c>
      <c r="CD133" s="327"/>
      <c r="CE133" s="292">
        <f t="shared" si="351"/>
        <v>0</v>
      </c>
      <c r="CF133" s="296">
        <f t="shared" si="332"/>
        <v>0</v>
      </c>
      <c r="CG133" s="324"/>
      <c r="CH133" s="303">
        <f t="shared" si="217"/>
        <v>0</v>
      </c>
      <c r="CI133" s="110">
        <f t="shared" si="352"/>
        <v>0</v>
      </c>
      <c r="CJ133" s="200">
        <f t="shared" si="353"/>
        <v>0</v>
      </c>
      <c r="CK133" s="25">
        <f t="shared" si="199"/>
        <v>0</v>
      </c>
      <c r="CL133" s="204">
        <f t="shared" si="354"/>
        <v>12</v>
      </c>
      <c r="CM133" s="26">
        <f>U133*Jahresdaten!$AD$2</f>
        <v>0</v>
      </c>
      <c r="CN133" s="114">
        <f>CJ133*Jahresdaten!$AD$2</f>
        <v>0</v>
      </c>
      <c r="CO133" s="346"/>
      <c r="CP133" s="118">
        <f>U133*Jahresdaten!$AD$3</f>
        <v>0</v>
      </c>
      <c r="CQ133" s="25">
        <f>CJ133*Jahresdaten!$AD$3</f>
        <v>0</v>
      </c>
      <c r="CR133" s="354"/>
      <c r="CS133" s="23"/>
      <c r="CT133" s="138"/>
      <c r="CU133" s="141" t="str">
        <f>IF(CT133=0,"",CT133*'Vergleich Holz Strom'!$B$2)</f>
        <v/>
      </c>
      <c r="CV133" s="354"/>
      <c r="CW133" s="346"/>
      <c r="CX133" s="346"/>
      <c r="CY133" s="346"/>
      <c r="CZ133" s="346"/>
      <c r="DA133" s="349"/>
      <c r="DB133" s="98"/>
      <c r="DC133" s="90">
        <f t="shared" si="281"/>
        <v>21267.511333333321</v>
      </c>
      <c r="DD133" s="98"/>
      <c r="DE133" s="90">
        <f t="shared" si="284"/>
        <v>-16269.112547000001</v>
      </c>
      <c r="DF133" s="102" t="e">
        <f ca="1">BE133+(SUM(CS122:CS133)/12)</f>
        <v>#N/A</v>
      </c>
      <c r="DG133" s="352"/>
      <c r="DH133" s="19">
        <f t="shared" si="322"/>
        <v>0</v>
      </c>
      <c r="DI133" s="125">
        <f t="shared" si="309"/>
        <v>20800</v>
      </c>
      <c r="DJ133" s="20">
        <f t="shared" si="323"/>
        <v>0</v>
      </c>
      <c r="DK133" s="129">
        <f>DK121</f>
        <v>7800</v>
      </c>
      <c r="DL133" s="20">
        <f t="shared" si="324"/>
        <v>650</v>
      </c>
      <c r="DM133" s="132">
        <f t="shared" si="325"/>
        <v>0</v>
      </c>
      <c r="DN133" s="27">
        <f>DN121</f>
        <v>3000</v>
      </c>
      <c r="DO133" s="132">
        <f t="shared" si="326"/>
        <v>250</v>
      </c>
      <c r="DP133" s="26">
        <f t="shared" si="327"/>
        <v>0</v>
      </c>
      <c r="DQ133" s="118">
        <f>DQ121</f>
        <v>10000</v>
      </c>
      <c r="DR133" s="118">
        <f>DR121</f>
        <v>600</v>
      </c>
    </row>
    <row r="134" spans="1:122" ht="15" customHeight="1" thickBot="1" x14ac:dyDescent="0.2">
      <c r="A134" s="415" t="s">
        <v>169</v>
      </c>
      <c r="B134" s="16">
        <v>47392</v>
      </c>
      <c r="C134" s="207">
        <f>'PV-Felder'!$I$11</f>
        <v>1416.7</v>
      </c>
      <c r="D134" s="358">
        <f t="shared" ref="D134" si="367">SUMIF(E134:E145,"&gt;0",C134:C145)</f>
        <v>0</v>
      </c>
      <c r="E134" s="61">
        <v>0</v>
      </c>
      <c r="F134" s="368">
        <f>SUM(E134:E145)</f>
        <v>0</v>
      </c>
      <c r="G134" s="58" t="e">
        <f t="shared" ca="1" si="339"/>
        <v>#N/A</v>
      </c>
      <c r="H134" s="358" t="e">
        <f ca="1">IF(TODAY()&lt;B134,#N/A,F134-D134)</f>
        <v>#N/A</v>
      </c>
      <c r="I134" s="61">
        <v>0</v>
      </c>
      <c r="J134" s="368">
        <f>SUM(I134:I145)</f>
        <v>0</v>
      </c>
      <c r="K134" s="61">
        <v>0</v>
      </c>
      <c r="L134" s="368">
        <f>SUM(K134:K145)</f>
        <v>0</v>
      </c>
      <c r="M134" s="66">
        <f t="shared" si="358"/>
        <v>0</v>
      </c>
      <c r="N134" s="372">
        <f>SUM(M134:M145)</f>
        <v>0</v>
      </c>
      <c r="Q134" s="287">
        <f t="shared" si="340"/>
        <v>0</v>
      </c>
      <c r="R134" s="333">
        <f>SUM(Q134:Q145)</f>
        <v>0</v>
      </c>
      <c r="S134" s="61">
        <v>0</v>
      </c>
      <c r="T134" s="375">
        <f>SUM(S134:S145)</f>
        <v>0</v>
      </c>
      <c r="U134" s="61">
        <v>0</v>
      </c>
      <c r="V134" s="341">
        <f>SUM(U134:U145)</f>
        <v>0</v>
      </c>
      <c r="W134" s="61">
        <v>0</v>
      </c>
      <c r="X134" s="341">
        <f>SUM(W134:W145)</f>
        <v>0</v>
      </c>
      <c r="Y134" s="211" t="e">
        <f t="shared" si="272"/>
        <v>#N/A</v>
      </c>
      <c r="Z134" s="369">
        <f>N134+T134+V134</f>
        <v>0</v>
      </c>
      <c r="AA134" s="62">
        <v>0</v>
      </c>
      <c r="AB134" s="368">
        <f>SUM(AA134:AA145)</f>
        <v>0</v>
      </c>
      <c r="AC134" s="62">
        <v>0</v>
      </c>
      <c r="AD134" s="368">
        <f>SUM(AC134:AC145)</f>
        <v>0</v>
      </c>
      <c r="AE134" s="74" t="e">
        <f t="shared" si="303"/>
        <v>#N/A</v>
      </c>
      <c r="AF134" s="355" t="e">
        <f>IF(SUMIF(AE134:AE145,"&gt;0")&gt;0,SUMIF(AE134:AE145,"&gt;0")/COUNTIF(AE134:AE145,"&gt;0"),#N/A)</f>
        <v>#N/A</v>
      </c>
      <c r="AG134" s="73" t="e">
        <f t="shared" si="304"/>
        <v>#N/A</v>
      </c>
      <c r="AH134" s="355" t="e">
        <f>IF(SUMIF(AG134:AG145,"&gt;0")&gt;0,SUMIF(AG134:AG145,"&gt;0")/COUNTIF(AG134:AG145,"&gt;0"),#N/A)</f>
        <v>#N/A</v>
      </c>
      <c r="AI134" s="222">
        <f>AI133</f>
        <v>29.26</v>
      </c>
      <c r="AJ134" s="78">
        <f t="shared" ref="AJ134:AP134" si="368">AJ133</f>
        <v>0.26750000000000002</v>
      </c>
      <c r="AK134" s="79">
        <f t="shared" si="368"/>
        <v>9.9166666666666661</v>
      </c>
      <c r="AL134" s="80">
        <f t="shared" si="368"/>
        <v>187</v>
      </c>
      <c r="AM134" s="78">
        <f t="shared" si="368"/>
        <v>9.737942583732058E-2</v>
      </c>
      <c r="AN134" s="80">
        <f t="shared" si="368"/>
        <v>143</v>
      </c>
      <c r="AO134" s="78">
        <f t="shared" si="368"/>
        <v>0.21099999999999999</v>
      </c>
      <c r="AP134" s="88">
        <f t="shared" si="368"/>
        <v>12</v>
      </c>
      <c r="AQ134" s="64">
        <f t="shared" si="364"/>
        <v>21.5</v>
      </c>
      <c r="AR134" s="64">
        <f t="shared" si="365"/>
        <v>11.5</v>
      </c>
      <c r="AS134" s="88">
        <f t="shared" si="366"/>
        <v>1.1830000000000001</v>
      </c>
      <c r="AT134" s="91">
        <f t="shared" si="249"/>
        <v>283</v>
      </c>
      <c r="AU134" s="94"/>
      <c r="AV134" s="95"/>
      <c r="AW134" s="56">
        <f t="shared" si="342"/>
        <v>0</v>
      </c>
      <c r="AX134" s="358">
        <f>SUM(AW134:AW145)</f>
        <v>0</v>
      </c>
      <c r="AY134" s="100">
        <f t="shared" si="201"/>
        <v>9.9166666666666661</v>
      </c>
      <c r="AZ134" s="359">
        <f>SUM(AY134:AY145)</f>
        <v>119.00000000000001</v>
      </c>
      <c r="BA134" s="103">
        <f>BA133-AY134</f>
        <v>-1244.1958803333334</v>
      </c>
      <c r="BB134" s="5">
        <f t="shared" si="306"/>
        <v>-9.9166666666666661</v>
      </c>
      <c r="BC134" s="362">
        <f>SUM(AY134:AY145)/12</f>
        <v>9.9166666666666679</v>
      </c>
      <c r="BD134" s="91" t="e">
        <f t="shared" ca="1" si="343"/>
        <v>#N/A</v>
      </c>
      <c r="BE134" s="91" t="e">
        <f t="shared" ca="1" si="344"/>
        <v>#N/A</v>
      </c>
      <c r="BF134" s="91">
        <f t="shared" si="345"/>
        <v>31.833333333333329</v>
      </c>
      <c r="BG134" s="91" t="e">
        <f t="shared" ca="1" si="346"/>
        <v>#N/A</v>
      </c>
      <c r="BH134" s="91" t="e">
        <f t="shared" ca="1" si="221"/>
        <v>#N/A</v>
      </c>
      <c r="BI134" s="10" t="e">
        <f t="shared" ca="1" si="360"/>
        <v>#N/A</v>
      </c>
      <c r="BJ134" s="104">
        <f>((M134+Q134)*AJ134+AK134)+((U134-W134+W134/('Vergleich Holz Strom'!$B$8-0.6))*AO134+AP134)</f>
        <v>21.916666666666664</v>
      </c>
      <c r="BK134" s="10" t="e">
        <f t="shared" ca="1" si="307"/>
        <v>#N/A</v>
      </c>
      <c r="BL134" s="378">
        <f ca="1">SUMIF(BK134:BK145,"&lt;&gt;#NV",BK134:BK145)</f>
        <v>0</v>
      </c>
      <c r="BM134" s="104" t="e">
        <f t="shared" ca="1" si="356"/>
        <v>#N/A</v>
      </c>
      <c r="BN134" s="40" t="e">
        <f ca="1">IF(ISNUMBER(BK134),BN133+SUMIF(BK134:BK145,"&lt;&gt;#NV",BK134:BK145)/COUNTIF(BK134:BK145,"&lt;&gt;#NV"),#N/A)</f>
        <v>#N/A</v>
      </c>
      <c r="BO134" s="10" t="e">
        <f t="shared" ca="1" si="361"/>
        <v>#N/A</v>
      </c>
      <c r="BP134" s="105" t="e">
        <f t="shared" ca="1" si="308"/>
        <v>#N/A</v>
      </c>
      <c r="BQ134" s="104">
        <f t="shared" ca="1" si="319"/>
        <v>-60667.142053172647</v>
      </c>
      <c r="BR134" s="10">
        <f t="shared" si="347"/>
        <v>9.9166666666666661</v>
      </c>
      <c r="BS134" s="311"/>
      <c r="BT134" s="307"/>
      <c r="BU134" s="295">
        <f t="shared" si="348"/>
        <v>0</v>
      </c>
      <c r="BV134" s="322">
        <f>SUM(BU134:BU145)</f>
        <v>0</v>
      </c>
      <c r="BW134" s="300">
        <f t="shared" si="349"/>
        <v>0</v>
      </c>
      <c r="BX134" s="305">
        <f t="shared" si="350"/>
        <v>0</v>
      </c>
      <c r="BY134" s="381">
        <f>SUM(BX134:BX145)</f>
        <v>0</v>
      </c>
      <c r="BZ134" s="300">
        <f t="shared" si="357"/>
        <v>0</v>
      </c>
      <c r="CA134" s="295">
        <f t="shared" si="362"/>
        <v>0</v>
      </c>
      <c r="CB134" s="322">
        <f>SUM(CA134:CA145)</f>
        <v>0</v>
      </c>
      <c r="CC134" s="314">
        <f t="shared" si="331"/>
        <v>0</v>
      </c>
      <c r="CD134" s="325">
        <f>SUM(CC134:CC145)</f>
        <v>0</v>
      </c>
      <c r="CE134" s="299">
        <f t="shared" si="351"/>
        <v>0</v>
      </c>
      <c r="CF134" s="284">
        <f t="shared" si="332"/>
        <v>0</v>
      </c>
      <c r="CG134" s="328">
        <f>SUM(CF134:CF145)</f>
        <v>0</v>
      </c>
      <c r="CH134" s="302">
        <f t="shared" si="217"/>
        <v>0</v>
      </c>
      <c r="CI134" s="108">
        <f t="shared" si="352"/>
        <v>0</v>
      </c>
      <c r="CJ134" s="201">
        <f t="shared" si="353"/>
        <v>0</v>
      </c>
      <c r="CK134" s="197">
        <f t="shared" ref="CK134:CK197" si="369">U134*AM134</f>
        <v>0</v>
      </c>
      <c r="CL134" s="203">
        <f t="shared" si="354"/>
        <v>12</v>
      </c>
      <c r="CM134" s="4">
        <f>U134*Jahresdaten!$AD$2</f>
        <v>0</v>
      </c>
      <c r="CN134" s="112">
        <f>CJ134*Jahresdaten!$AD$2</f>
        <v>0</v>
      </c>
      <c r="CO134" s="365">
        <f>CW134*Jahresdaten!$AD$2</f>
        <v>856.59076092206669</v>
      </c>
      <c r="CP134" s="116">
        <f>U134*Jahresdaten!$AD$3</f>
        <v>0</v>
      </c>
      <c r="CQ134" s="12">
        <f>CJ134*Jahresdaten!$AD$3</f>
        <v>0</v>
      </c>
      <c r="CR134" s="367">
        <f>CW134*Jahresdaten!$AD$3</f>
        <v>312.40923907793319</v>
      </c>
      <c r="CS134" s="14">
        <f>CS122</f>
        <v>1169</v>
      </c>
      <c r="CT134" s="136">
        <f>CT122</f>
        <v>12</v>
      </c>
      <c r="CU134" s="140">
        <f>IF(CT134=0,"",CT134*'Vergleich Holz Strom'!$B$2)</f>
        <v>25800</v>
      </c>
      <c r="CV134" s="120" t="s">
        <v>7</v>
      </c>
      <c r="CW134" s="365">
        <f>CV135+CV141</f>
        <v>1169</v>
      </c>
      <c r="CX134" s="344">
        <f>SUM(CS134:CS145)/SUM(CU134:CU145)*(SUM(CU134:CU145)+(V134*('Vergleich Holz Strom'!$B$8-0.6)/'Vergleich Holz Strom'!$E$6))</f>
        <v>1169</v>
      </c>
      <c r="CY134" s="344">
        <f>SUM(CU134:CU145)*'Vergleich Holz Strom'!$E$6/('Vergleich Holz Strom'!$B$8-0.6)*(SUM(AJ134:AJ145)/12)+CV135</f>
        <v>1420.8970588235295</v>
      </c>
      <c r="CZ134" s="344">
        <f>SUM(CU134:CU145)*'Vergleich Holz Strom'!$E$6/('Vergleich Holz Strom'!$B$8-0.6)*SUM(AM134:AM145)/12+SUM(CK134:CK145)</f>
        <v>517.25659724176774</v>
      </c>
      <c r="DA134" s="347">
        <f>SUM(CU134:CU145)*'Vergleich Holz Strom'!$E$6/('Vergleich Holz Strom'!$B$8-0.6)*(SUM(AO134:AO145)/12)+SUM(CL134:CL145)</f>
        <v>1264.7823529411764</v>
      </c>
      <c r="DB134" s="94"/>
      <c r="DC134" s="88">
        <f t="shared" si="281"/>
        <v>21444.594666666653</v>
      </c>
      <c r="DD134" s="94"/>
      <c r="DE134" s="88">
        <f t="shared" si="284"/>
        <v>-16412.112547000001</v>
      </c>
      <c r="DF134" s="100" t="e">
        <f ca="1">BE134+(SUM(CS134:CS145)/12)</f>
        <v>#N/A</v>
      </c>
      <c r="DG134" s="350">
        <f ca="1">SUMIF(DF134:DF145,"&gt;0")</f>
        <v>0</v>
      </c>
      <c r="DH134" s="8">
        <f>M134+S134+U134</f>
        <v>0</v>
      </c>
      <c r="DI134" s="123">
        <f t="shared" si="309"/>
        <v>1850</v>
      </c>
      <c r="DJ134" s="2">
        <f>M134</f>
        <v>0</v>
      </c>
      <c r="DK134" s="127">
        <f>DK145/12*1</f>
        <v>650</v>
      </c>
      <c r="DL134" s="2">
        <f>DL133</f>
        <v>650</v>
      </c>
      <c r="DM134" s="130">
        <f>S134</f>
        <v>0</v>
      </c>
      <c r="DN134" s="3">
        <f>DN145/12*1</f>
        <v>250</v>
      </c>
      <c r="DO134" s="130">
        <f>DO133</f>
        <v>250</v>
      </c>
      <c r="DP134" s="4">
        <f>U134</f>
        <v>0</v>
      </c>
      <c r="DQ134" s="116">
        <f>DR134</f>
        <v>950</v>
      </c>
      <c r="DR134" s="116">
        <f>DR122</f>
        <v>950</v>
      </c>
    </row>
    <row r="135" spans="1:122" ht="14.25" customHeight="1" thickBot="1" x14ac:dyDescent="0.2">
      <c r="A135" s="416"/>
      <c r="B135" s="16">
        <v>47423</v>
      </c>
      <c r="C135" s="207">
        <f>'PV-Felder'!$I$12</f>
        <v>739.6</v>
      </c>
      <c r="D135" s="351"/>
      <c r="E135" s="61">
        <v>0</v>
      </c>
      <c r="F135" s="351"/>
      <c r="G135" s="56" t="e">
        <f t="shared" ca="1" si="339"/>
        <v>#N/A</v>
      </c>
      <c r="H135" s="351"/>
      <c r="I135" s="61">
        <v>0</v>
      </c>
      <c r="J135" s="351"/>
      <c r="K135" s="61">
        <v>0</v>
      </c>
      <c r="L135" s="351"/>
      <c r="M135" s="65">
        <f t="shared" si="358"/>
        <v>0</v>
      </c>
      <c r="N135" s="373"/>
      <c r="O135" s="288"/>
      <c r="P135" s="288"/>
      <c r="Q135" s="286">
        <f t="shared" si="340"/>
        <v>0</v>
      </c>
      <c r="R135" s="334"/>
      <c r="S135" s="61">
        <v>0</v>
      </c>
      <c r="T135" s="376"/>
      <c r="U135" s="61">
        <v>0</v>
      </c>
      <c r="V135" s="342"/>
      <c r="W135" s="61">
        <v>0</v>
      </c>
      <c r="X135" s="342"/>
      <c r="Y135" s="211" t="e">
        <f t="shared" si="272"/>
        <v>#N/A</v>
      </c>
      <c r="Z135" s="370"/>
      <c r="AA135" s="61">
        <v>0</v>
      </c>
      <c r="AB135" s="351"/>
      <c r="AC135" s="61">
        <v>0</v>
      </c>
      <c r="AD135" s="351"/>
      <c r="AE135" s="73" t="e">
        <f t="shared" si="303"/>
        <v>#N/A</v>
      </c>
      <c r="AF135" s="356"/>
      <c r="AG135" s="73" t="e">
        <f t="shared" si="304"/>
        <v>#N/A</v>
      </c>
      <c r="AH135" s="356"/>
      <c r="AI135" s="221">
        <f>AI134</f>
        <v>29.26</v>
      </c>
      <c r="AJ135" s="78">
        <f t="shared" ref="AJ135:AN135" si="370">AJ134</f>
        <v>0.26750000000000002</v>
      </c>
      <c r="AK135" s="79">
        <f t="shared" si="370"/>
        <v>9.9166666666666661</v>
      </c>
      <c r="AL135" s="80">
        <f t="shared" si="370"/>
        <v>187</v>
      </c>
      <c r="AM135" s="78">
        <f t="shared" si="370"/>
        <v>9.737942583732058E-2</v>
      </c>
      <c r="AN135" s="80">
        <f t="shared" si="370"/>
        <v>143</v>
      </c>
      <c r="AO135" s="78">
        <f>AO134</f>
        <v>0.21099999999999999</v>
      </c>
      <c r="AP135" s="88">
        <f>AP134</f>
        <v>12</v>
      </c>
      <c r="AQ135" s="64">
        <f t="shared" si="364"/>
        <v>21.5</v>
      </c>
      <c r="AR135" s="64">
        <f t="shared" si="365"/>
        <v>11.5</v>
      </c>
      <c r="AS135" s="88">
        <f t="shared" si="366"/>
        <v>1.1830000000000001</v>
      </c>
      <c r="AT135" s="91">
        <f t="shared" si="249"/>
        <v>283</v>
      </c>
      <c r="AU135" s="94"/>
      <c r="AV135" s="95"/>
      <c r="AW135" s="56">
        <f t="shared" si="342"/>
        <v>0</v>
      </c>
      <c r="AX135" s="351"/>
      <c r="AY135" s="100">
        <f t="shared" ref="AY135:AY198" si="371">(AA135*AJ135+AK135)-(AC135*AM135)</f>
        <v>9.9166666666666661</v>
      </c>
      <c r="AZ135" s="360"/>
      <c r="BA135" s="91">
        <f t="shared" ref="BA135:BA145" si="372">BA134-AY135</f>
        <v>-1254.1125470000002</v>
      </c>
      <c r="BB135" s="5">
        <f t="shared" si="306"/>
        <v>-9.9166666666666661</v>
      </c>
      <c r="BC135" s="363"/>
      <c r="BD135" s="91" t="e">
        <f t="shared" ca="1" si="343"/>
        <v>#N/A</v>
      </c>
      <c r="BE135" s="91" t="e">
        <f t="shared" ca="1" si="344"/>
        <v>#N/A</v>
      </c>
      <c r="BF135" s="91">
        <f t="shared" si="345"/>
        <v>31.833333333333329</v>
      </c>
      <c r="BG135" s="91" t="e">
        <f t="shared" ca="1" si="346"/>
        <v>#N/A</v>
      </c>
      <c r="BH135" s="91" t="e">
        <f t="shared" ca="1" si="221"/>
        <v>#N/A</v>
      </c>
      <c r="BI135" s="10" t="e">
        <f t="shared" ca="1" si="360"/>
        <v>#N/A</v>
      </c>
      <c r="BJ135" s="104">
        <f>((M135+Q135)*AJ135+AK135)+((U135-W135+W135/('Vergleich Holz Strom'!$B$8-0.6))*AO135+AP135)</f>
        <v>21.916666666666664</v>
      </c>
      <c r="BK135" s="10" t="e">
        <f t="shared" ca="1" si="307"/>
        <v>#N/A</v>
      </c>
      <c r="BL135" s="379"/>
      <c r="BM135" s="104" t="e">
        <f t="shared" ca="1" si="356"/>
        <v>#N/A</v>
      </c>
      <c r="BN135" s="40" t="e">
        <f ca="1">IF(ISNUMBER(BK135),BN134+SUMIF(BK134:BK145,"&lt;&gt;#NV",BK134:BK145)/COUNTIF(BK134:BK145,"&lt;&gt;#NV"),#N/A)</f>
        <v>#N/A</v>
      </c>
      <c r="BO135" s="10" t="e">
        <f t="shared" ca="1" si="361"/>
        <v>#N/A</v>
      </c>
      <c r="BP135" s="104" t="e">
        <f t="shared" ca="1" si="308"/>
        <v>#N/A</v>
      </c>
      <c r="BQ135" s="104">
        <f t="shared" ca="1" si="319"/>
        <v>-60655.142053172647</v>
      </c>
      <c r="BR135" s="10">
        <f t="shared" si="347"/>
        <v>9.9166666666666661</v>
      </c>
      <c r="BS135" s="311"/>
      <c r="BT135" s="307"/>
      <c r="BU135" s="295">
        <f t="shared" si="348"/>
        <v>0</v>
      </c>
      <c r="BV135" s="323"/>
      <c r="BW135" s="299">
        <f t="shared" si="349"/>
        <v>0</v>
      </c>
      <c r="BX135" s="295">
        <f t="shared" si="350"/>
        <v>0</v>
      </c>
      <c r="BY135" s="382"/>
      <c r="BZ135" s="299">
        <f t="shared" si="357"/>
        <v>0</v>
      </c>
      <c r="CA135" s="295">
        <f t="shared" si="362"/>
        <v>0</v>
      </c>
      <c r="CB135" s="323"/>
      <c r="CC135" s="314">
        <f>Q135/AQ135*100+BS135/AQ135*100</f>
        <v>0</v>
      </c>
      <c r="CD135" s="326"/>
      <c r="CE135" s="299">
        <f t="shared" si="351"/>
        <v>0</v>
      </c>
      <c r="CF135" s="284">
        <f>CE135-CA135</f>
        <v>0</v>
      </c>
      <c r="CG135" s="323"/>
      <c r="CH135" s="302">
        <f t="shared" si="217"/>
        <v>0</v>
      </c>
      <c r="CI135" s="108">
        <f t="shared" si="352"/>
        <v>0</v>
      </c>
      <c r="CJ135" s="200">
        <f t="shared" si="353"/>
        <v>0</v>
      </c>
      <c r="CK135" s="197">
        <f t="shared" si="369"/>
        <v>0</v>
      </c>
      <c r="CL135" s="203">
        <f t="shared" si="354"/>
        <v>12</v>
      </c>
      <c r="CM135" s="4">
        <f>U135*Jahresdaten!$AD$2</f>
        <v>0</v>
      </c>
      <c r="CN135" s="112">
        <f>CJ135*Jahresdaten!$AD$2</f>
        <v>0</v>
      </c>
      <c r="CO135" s="366"/>
      <c r="CP135" s="116">
        <f>U135*Jahresdaten!$AD$3</f>
        <v>0</v>
      </c>
      <c r="CQ135" s="12">
        <f>CJ135*Jahresdaten!$AD$3</f>
        <v>0</v>
      </c>
      <c r="CR135" s="353"/>
      <c r="CS135" s="14"/>
      <c r="CT135" s="136"/>
      <c r="CU135" s="140" t="str">
        <f>IF(CT135=0,"",CT135*'Vergleich Holz Strom'!$B$2)</f>
        <v/>
      </c>
      <c r="CV135" s="353">
        <f>SUM(CJ134:CJ145)</f>
        <v>0</v>
      </c>
      <c r="CW135" s="366"/>
      <c r="CX135" s="345"/>
      <c r="CY135" s="345"/>
      <c r="CZ135" s="345"/>
      <c r="DA135" s="348"/>
      <c r="DB135" s="94"/>
      <c r="DC135" s="88">
        <f t="shared" si="281"/>
        <v>21621.677999999985</v>
      </c>
      <c r="DD135" s="94"/>
      <c r="DE135" s="88">
        <f t="shared" si="284"/>
        <v>-16555.112547000001</v>
      </c>
      <c r="DF135" s="100" t="e">
        <f ca="1">BE135+(SUM(CS134:CS145)/12)</f>
        <v>#N/A</v>
      </c>
      <c r="DG135" s="351"/>
      <c r="DH135" s="8">
        <f t="shared" ref="DH135:DH145" si="373">DH134+M135+S135+U135</f>
        <v>0</v>
      </c>
      <c r="DI135" s="123">
        <f t="shared" si="309"/>
        <v>3550</v>
      </c>
      <c r="DJ135" s="2">
        <f t="shared" ref="DJ135:DJ145" si="374">DJ134+M135</f>
        <v>0</v>
      </c>
      <c r="DK135" s="127">
        <f>DK145/12*2</f>
        <v>1300</v>
      </c>
      <c r="DL135" s="2">
        <f t="shared" ref="DL135:DL145" si="375">DL134</f>
        <v>650</v>
      </c>
      <c r="DM135" s="130">
        <f t="shared" ref="DM135:DM145" si="376">DM134+S135</f>
        <v>0</v>
      </c>
      <c r="DN135" s="3">
        <f>DN145/12*2</f>
        <v>500</v>
      </c>
      <c r="DO135" s="130">
        <f t="shared" ref="DO135:DO145" si="377">DO134</f>
        <v>250</v>
      </c>
      <c r="DP135" s="4">
        <f t="shared" ref="DP135:DP145" si="378">DP134+U135</f>
        <v>0</v>
      </c>
      <c r="DQ135" s="116">
        <f t="shared" ref="DQ135:DQ144" si="379">DQ134+DR135</f>
        <v>1750</v>
      </c>
      <c r="DR135" s="116">
        <f>DR123</f>
        <v>800</v>
      </c>
    </row>
    <row r="136" spans="1:122" ht="14.25" customHeight="1" thickBot="1" x14ac:dyDescent="0.2">
      <c r="A136" s="416"/>
      <c r="B136" s="16">
        <v>47453</v>
      </c>
      <c r="C136" s="207">
        <f>'PV-Felder'!$I$13</f>
        <v>559.9</v>
      </c>
      <c r="D136" s="351"/>
      <c r="E136" s="61">
        <v>0</v>
      </c>
      <c r="F136" s="351"/>
      <c r="G136" s="56" t="e">
        <f t="shared" ca="1" si="339"/>
        <v>#N/A</v>
      </c>
      <c r="H136" s="351"/>
      <c r="I136" s="61">
        <v>0</v>
      </c>
      <c r="J136" s="351"/>
      <c r="K136" s="61">
        <v>0</v>
      </c>
      <c r="L136" s="351"/>
      <c r="M136" s="65">
        <f t="shared" si="358"/>
        <v>0</v>
      </c>
      <c r="N136" s="373"/>
      <c r="O136" s="288"/>
      <c r="P136" s="288"/>
      <c r="Q136" s="286">
        <f t="shared" si="340"/>
        <v>0</v>
      </c>
      <c r="R136" s="334"/>
      <c r="S136" s="61">
        <v>0</v>
      </c>
      <c r="T136" s="376"/>
      <c r="U136" s="61">
        <v>0</v>
      </c>
      <c r="V136" s="342"/>
      <c r="W136" s="61">
        <v>0</v>
      </c>
      <c r="X136" s="342"/>
      <c r="Y136" s="211" t="e">
        <f t="shared" si="272"/>
        <v>#N/A</v>
      </c>
      <c r="Z136" s="370"/>
      <c r="AA136" s="61">
        <v>0</v>
      </c>
      <c r="AB136" s="351"/>
      <c r="AC136" s="61">
        <v>0</v>
      </c>
      <c r="AD136" s="351"/>
      <c r="AE136" s="73" t="e">
        <f t="shared" si="303"/>
        <v>#N/A</v>
      </c>
      <c r="AF136" s="356"/>
      <c r="AG136" s="73" t="e">
        <f t="shared" si="304"/>
        <v>#N/A</v>
      </c>
      <c r="AH136" s="356"/>
      <c r="AI136" s="221">
        <f t="shared" ref="AI136:AI144" si="380">AI135</f>
        <v>29.26</v>
      </c>
      <c r="AJ136" s="78">
        <f t="shared" ref="AJ136:AN136" si="381">AJ135</f>
        <v>0.26750000000000002</v>
      </c>
      <c r="AK136" s="79">
        <f t="shared" si="381"/>
        <v>9.9166666666666661</v>
      </c>
      <c r="AL136" s="80">
        <f t="shared" si="381"/>
        <v>187</v>
      </c>
      <c r="AM136" s="78">
        <f t="shared" si="381"/>
        <v>9.737942583732058E-2</v>
      </c>
      <c r="AN136" s="80">
        <f t="shared" si="381"/>
        <v>143</v>
      </c>
      <c r="AO136" s="78">
        <f>AO135</f>
        <v>0.21099999999999999</v>
      </c>
      <c r="AP136" s="88">
        <f>AP135</f>
        <v>12</v>
      </c>
      <c r="AQ136" s="64">
        <f t="shared" si="364"/>
        <v>21.5</v>
      </c>
      <c r="AR136" s="64">
        <f t="shared" si="365"/>
        <v>11.5</v>
      </c>
      <c r="AS136" s="88">
        <f t="shared" si="366"/>
        <v>1.1830000000000001</v>
      </c>
      <c r="AT136" s="91">
        <f t="shared" si="249"/>
        <v>283</v>
      </c>
      <c r="AU136" s="94"/>
      <c r="AV136" s="95"/>
      <c r="AW136" s="56">
        <f t="shared" si="342"/>
        <v>0</v>
      </c>
      <c r="AX136" s="351"/>
      <c r="AY136" s="100">
        <f t="shared" si="371"/>
        <v>9.9166666666666661</v>
      </c>
      <c r="AZ136" s="360"/>
      <c r="BA136" s="91">
        <f t="shared" si="372"/>
        <v>-1264.0292136666669</v>
      </c>
      <c r="BB136" s="5">
        <f t="shared" si="306"/>
        <v>-9.9166666666666661</v>
      </c>
      <c r="BC136" s="363"/>
      <c r="BD136" s="91" t="e">
        <f t="shared" ca="1" si="343"/>
        <v>#N/A</v>
      </c>
      <c r="BE136" s="91" t="e">
        <f t="shared" ca="1" si="344"/>
        <v>#N/A</v>
      </c>
      <c r="BF136" s="91">
        <f t="shared" si="345"/>
        <v>31.833333333333329</v>
      </c>
      <c r="BG136" s="91" t="e">
        <f t="shared" ca="1" si="346"/>
        <v>#N/A</v>
      </c>
      <c r="BH136" s="91" t="e">
        <f t="shared" ca="1" si="221"/>
        <v>#N/A</v>
      </c>
      <c r="BI136" s="10" t="e">
        <f t="shared" ca="1" si="360"/>
        <v>#N/A</v>
      </c>
      <c r="BJ136" s="104">
        <f>((M136+Q136)*AJ136+AK136)+((U136-W136+W136/('Vergleich Holz Strom'!$B$8-0.6))*AO136+AP136)</f>
        <v>21.916666666666664</v>
      </c>
      <c r="BK136" s="10" t="e">
        <f t="shared" ca="1" si="307"/>
        <v>#N/A</v>
      </c>
      <c r="BL136" s="379"/>
      <c r="BM136" s="104" t="e">
        <f t="shared" ca="1" si="356"/>
        <v>#N/A</v>
      </c>
      <c r="BN136" s="40" t="e">
        <f ca="1">IF(ISNUMBER(BK136),BN135+SUMIF(BK134:BK145,"&lt;&gt;#NV",BK134:BK145)/COUNTIF(BK134:BK145,"&lt;&gt;#NV"),#N/A)</f>
        <v>#N/A</v>
      </c>
      <c r="BO136" s="10" t="e">
        <f t="shared" ca="1" si="361"/>
        <v>#N/A</v>
      </c>
      <c r="BP136" s="104" t="e">
        <f t="shared" ca="1" si="308"/>
        <v>#N/A</v>
      </c>
      <c r="BQ136" s="104">
        <f t="shared" ca="1" si="319"/>
        <v>-60643.142053172647</v>
      </c>
      <c r="BR136" s="10">
        <f t="shared" si="347"/>
        <v>9.9166666666666661</v>
      </c>
      <c r="BS136" s="311"/>
      <c r="BT136" s="307"/>
      <c r="BU136" s="295">
        <f t="shared" si="348"/>
        <v>0</v>
      </c>
      <c r="BV136" s="323"/>
      <c r="BW136" s="299">
        <f t="shared" si="349"/>
        <v>0</v>
      </c>
      <c r="BX136" s="295">
        <f t="shared" si="350"/>
        <v>0</v>
      </c>
      <c r="BY136" s="382"/>
      <c r="BZ136" s="299">
        <f t="shared" si="357"/>
        <v>0</v>
      </c>
      <c r="CA136" s="295">
        <f t="shared" si="362"/>
        <v>0</v>
      </c>
      <c r="CB136" s="323"/>
      <c r="CC136" s="314">
        <f t="shared" ref="CC136:CC146" si="382">Q136/AQ136*100+BS136/AQ136*100</f>
        <v>0</v>
      </c>
      <c r="CD136" s="326"/>
      <c r="CE136" s="299">
        <f t="shared" si="351"/>
        <v>0</v>
      </c>
      <c r="CF136" s="284">
        <f t="shared" ref="CF136:CF146" si="383">CE136-CA136</f>
        <v>0</v>
      </c>
      <c r="CG136" s="323"/>
      <c r="CH136" s="302">
        <f t="shared" si="217"/>
        <v>0</v>
      </c>
      <c r="CI136" s="108">
        <f t="shared" si="352"/>
        <v>0</v>
      </c>
      <c r="CJ136" s="200">
        <f t="shared" si="353"/>
        <v>0</v>
      </c>
      <c r="CK136" s="197">
        <f t="shared" si="369"/>
        <v>0</v>
      </c>
      <c r="CL136" s="203">
        <f t="shared" si="354"/>
        <v>12</v>
      </c>
      <c r="CM136" s="4">
        <f>U136*Jahresdaten!$AD$2</f>
        <v>0</v>
      </c>
      <c r="CN136" s="112">
        <f>CJ136*Jahresdaten!$AD$2</f>
        <v>0</v>
      </c>
      <c r="CO136" s="366"/>
      <c r="CP136" s="116">
        <f>U136*Jahresdaten!$AD$3</f>
        <v>0</v>
      </c>
      <c r="CQ136" s="12">
        <f>CJ136*Jahresdaten!$AD$3</f>
        <v>0</v>
      </c>
      <c r="CR136" s="353"/>
      <c r="CS136" s="14"/>
      <c r="CT136" s="136"/>
      <c r="CU136" s="140" t="str">
        <f>IF(CT136=0,"",CT136*'Vergleich Holz Strom'!$B$2)</f>
        <v/>
      </c>
      <c r="CV136" s="353"/>
      <c r="CW136" s="366"/>
      <c r="CX136" s="345"/>
      <c r="CY136" s="345"/>
      <c r="CZ136" s="345"/>
      <c r="DA136" s="348"/>
      <c r="DB136" s="94"/>
      <c r="DC136" s="88">
        <f t="shared" si="281"/>
        <v>21798.761333333317</v>
      </c>
      <c r="DD136" s="94"/>
      <c r="DE136" s="88">
        <f t="shared" si="284"/>
        <v>-16698.112547000001</v>
      </c>
      <c r="DF136" s="100" t="e">
        <f ca="1">BE136+(SUM(CS134:CS145)/12)</f>
        <v>#N/A</v>
      </c>
      <c r="DG136" s="351"/>
      <c r="DH136" s="8">
        <f t="shared" si="373"/>
        <v>0</v>
      </c>
      <c r="DI136" s="123">
        <f t="shared" si="309"/>
        <v>5300</v>
      </c>
      <c r="DJ136" s="2">
        <f t="shared" si="374"/>
        <v>0</v>
      </c>
      <c r="DK136" s="127">
        <f>DK145/12*3</f>
        <v>1950</v>
      </c>
      <c r="DL136" s="2">
        <f t="shared" si="375"/>
        <v>650</v>
      </c>
      <c r="DM136" s="130">
        <f t="shared" si="376"/>
        <v>0</v>
      </c>
      <c r="DN136" s="3">
        <f>DN145/12*3</f>
        <v>750</v>
      </c>
      <c r="DO136" s="130">
        <f t="shared" si="377"/>
        <v>250</v>
      </c>
      <c r="DP136" s="4">
        <f t="shared" si="378"/>
        <v>0</v>
      </c>
      <c r="DQ136" s="116">
        <f t="shared" si="379"/>
        <v>2600</v>
      </c>
      <c r="DR136" s="116">
        <f t="shared" ref="DR136:DR144" si="384">DR124</f>
        <v>850.00000000000011</v>
      </c>
    </row>
    <row r="137" spans="1:122" ht="14.25" customHeight="1" thickBot="1" x14ac:dyDescent="0.2">
      <c r="A137" s="416"/>
      <c r="B137" s="16">
        <v>47484</v>
      </c>
      <c r="C137" s="207">
        <f>'PV-Felder'!$I$2</f>
        <v>660.80000000000007</v>
      </c>
      <c r="D137" s="351"/>
      <c r="E137" s="61">
        <v>0</v>
      </c>
      <c r="F137" s="351"/>
      <c r="G137" s="56" t="e">
        <f t="shared" ca="1" si="339"/>
        <v>#N/A</v>
      </c>
      <c r="H137" s="351"/>
      <c r="I137" s="61">
        <v>0</v>
      </c>
      <c r="J137" s="351"/>
      <c r="K137" s="61">
        <v>0</v>
      </c>
      <c r="L137" s="351"/>
      <c r="M137" s="65">
        <f t="shared" si="358"/>
        <v>0</v>
      </c>
      <c r="N137" s="373"/>
      <c r="O137" s="288"/>
      <c r="P137" s="288"/>
      <c r="Q137" s="286">
        <f t="shared" si="340"/>
        <v>0</v>
      </c>
      <c r="R137" s="334"/>
      <c r="S137" s="61">
        <v>0</v>
      </c>
      <c r="T137" s="376"/>
      <c r="U137" s="61">
        <v>0</v>
      </c>
      <c r="V137" s="342"/>
      <c r="W137" s="61">
        <v>0</v>
      </c>
      <c r="X137" s="342"/>
      <c r="Y137" s="211" t="e">
        <f t="shared" si="272"/>
        <v>#N/A</v>
      </c>
      <c r="Z137" s="370"/>
      <c r="AA137" s="61">
        <v>0</v>
      </c>
      <c r="AB137" s="351"/>
      <c r="AC137" s="61">
        <v>0</v>
      </c>
      <c r="AD137" s="351"/>
      <c r="AE137" s="73" t="e">
        <f t="shared" si="303"/>
        <v>#N/A</v>
      </c>
      <c r="AF137" s="356"/>
      <c r="AG137" s="73" t="e">
        <f t="shared" si="304"/>
        <v>#N/A</v>
      </c>
      <c r="AH137" s="356"/>
      <c r="AI137" s="221">
        <f t="shared" si="380"/>
        <v>29.26</v>
      </c>
      <c r="AJ137" s="78">
        <f t="shared" ref="AJ137:AP137" si="385">AJ136</f>
        <v>0.26750000000000002</v>
      </c>
      <c r="AK137" s="79">
        <f t="shared" si="385"/>
        <v>9.9166666666666661</v>
      </c>
      <c r="AL137" s="80">
        <f t="shared" si="385"/>
        <v>187</v>
      </c>
      <c r="AM137" s="78">
        <f t="shared" si="385"/>
        <v>9.737942583732058E-2</v>
      </c>
      <c r="AN137" s="80">
        <f t="shared" si="385"/>
        <v>143</v>
      </c>
      <c r="AO137" s="78">
        <f t="shared" si="385"/>
        <v>0.21099999999999999</v>
      </c>
      <c r="AP137" s="88">
        <f t="shared" si="385"/>
        <v>12</v>
      </c>
      <c r="AQ137" s="64">
        <f t="shared" si="364"/>
        <v>21.5</v>
      </c>
      <c r="AR137" s="64">
        <f t="shared" si="365"/>
        <v>11.5</v>
      </c>
      <c r="AS137" s="88">
        <f t="shared" si="366"/>
        <v>1.1830000000000001</v>
      </c>
      <c r="AT137" s="91">
        <f t="shared" si="249"/>
        <v>283</v>
      </c>
      <c r="AU137" s="94"/>
      <c r="AV137" s="95"/>
      <c r="AW137" s="56">
        <f t="shared" si="342"/>
        <v>0</v>
      </c>
      <c r="AX137" s="351"/>
      <c r="AY137" s="100">
        <f t="shared" si="371"/>
        <v>9.9166666666666661</v>
      </c>
      <c r="AZ137" s="360"/>
      <c r="BA137" s="91">
        <f t="shared" si="372"/>
        <v>-1273.9458803333337</v>
      </c>
      <c r="BB137" s="5">
        <f t="shared" si="306"/>
        <v>-9.9166666666666661</v>
      </c>
      <c r="BC137" s="363"/>
      <c r="BD137" s="91" t="e">
        <f t="shared" ca="1" si="343"/>
        <v>#N/A</v>
      </c>
      <c r="BE137" s="91" t="e">
        <f t="shared" ca="1" si="344"/>
        <v>#N/A</v>
      </c>
      <c r="BF137" s="91">
        <f t="shared" si="345"/>
        <v>31.833333333333329</v>
      </c>
      <c r="BG137" s="91" t="e">
        <f t="shared" ca="1" si="346"/>
        <v>#N/A</v>
      </c>
      <c r="BH137" s="91" t="e">
        <f t="shared" ca="1" si="221"/>
        <v>#N/A</v>
      </c>
      <c r="BI137" s="10" t="e">
        <f t="shared" ca="1" si="360"/>
        <v>#N/A</v>
      </c>
      <c r="BJ137" s="104">
        <f>((M137+Q137)*AJ137+AK137)+((U137-W137+W137/('Vergleich Holz Strom'!$B$8-0.6))*AO137+AP137)</f>
        <v>21.916666666666664</v>
      </c>
      <c r="BK137" s="10" t="e">
        <f t="shared" ca="1" si="307"/>
        <v>#N/A</v>
      </c>
      <c r="BL137" s="379"/>
      <c r="BM137" s="104" t="e">
        <f t="shared" ca="1" si="356"/>
        <v>#N/A</v>
      </c>
      <c r="BN137" s="40" t="e">
        <f ca="1">IF(ISNUMBER(BK137),BN136+SUMIF(BK134:BK145,"&lt;&gt;#NV",BK134:BK145)/COUNTIF(BK134:BK145,"&lt;&gt;#NV"),#N/A)</f>
        <v>#N/A</v>
      </c>
      <c r="BO137" s="10" t="e">
        <f t="shared" ca="1" si="361"/>
        <v>#N/A</v>
      </c>
      <c r="BP137" s="104" t="e">
        <f t="shared" ca="1" si="308"/>
        <v>#N/A</v>
      </c>
      <c r="BQ137" s="104">
        <f t="shared" ca="1" si="319"/>
        <v>-60631.142053172647</v>
      </c>
      <c r="BR137" s="10">
        <f t="shared" si="347"/>
        <v>9.9166666666666661</v>
      </c>
      <c r="BS137" s="311"/>
      <c r="BT137" s="307"/>
      <c r="BU137" s="295">
        <f t="shared" si="348"/>
        <v>0</v>
      </c>
      <c r="BV137" s="323"/>
      <c r="BW137" s="299">
        <f t="shared" si="349"/>
        <v>0</v>
      </c>
      <c r="BX137" s="295">
        <f t="shared" si="350"/>
        <v>0</v>
      </c>
      <c r="BY137" s="382"/>
      <c r="BZ137" s="299">
        <f t="shared" si="357"/>
        <v>0</v>
      </c>
      <c r="CA137" s="295">
        <f t="shared" si="362"/>
        <v>0</v>
      </c>
      <c r="CB137" s="323"/>
      <c r="CC137" s="314">
        <f t="shared" si="382"/>
        <v>0</v>
      </c>
      <c r="CD137" s="326"/>
      <c r="CE137" s="299">
        <f t="shared" si="351"/>
        <v>0</v>
      </c>
      <c r="CF137" s="284">
        <f t="shared" si="383"/>
        <v>0</v>
      </c>
      <c r="CG137" s="323"/>
      <c r="CH137" s="302">
        <f t="shared" si="217"/>
        <v>0</v>
      </c>
      <c r="CI137" s="108">
        <f t="shared" si="352"/>
        <v>0</v>
      </c>
      <c r="CJ137" s="200">
        <f t="shared" si="353"/>
        <v>0</v>
      </c>
      <c r="CK137" s="197">
        <f t="shared" si="369"/>
        <v>0</v>
      </c>
      <c r="CL137" s="203">
        <f t="shared" si="354"/>
        <v>12</v>
      </c>
      <c r="CM137" s="4">
        <f>U137*Jahresdaten!$AD$2</f>
        <v>0</v>
      </c>
      <c r="CN137" s="112">
        <f>CJ137*Jahresdaten!$AD$2</f>
        <v>0</v>
      </c>
      <c r="CO137" s="366"/>
      <c r="CP137" s="116">
        <f>U137*Jahresdaten!$AD$3</f>
        <v>0</v>
      </c>
      <c r="CQ137" s="12">
        <f>CJ137*Jahresdaten!$AD$3</f>
        <v>0</v>
      </c>
      <c r="CR137" s="353"/>
      <c r="CS137" s="14"/>
      <c r="CT137" s="136"/>
      <c r="CU137" s="140" t="str">
        <f>IF(CT137=0,"",CT137*'Vergleich Holz Strom'!$B$2)</f>
        <v/>
      </c>
      <c r="CV137" s="353"/>
      <c r="CW137" s="366"/>
      <c r="CX137" s="345"/>
      <c r="CY137" s="345"/>
      <c r="CZ137" s="345"/>
      <c r="DA137" s="348"/>
      <c r="DB137" s="94"/>
      <c r="DC137" s="88">
        <f t="shared" si="281"/>
        <v>21975.84466666665</v>
      </c>
      <c r="DD137" s="94"/>
      <c r="DE137" s="88">
        <f t="shared" si="284"/>
        <v>-16841.112547000001</v>
      </c>
      <c r="DF137" s="100" t="e">
        <f ca="1">BE137+(SUM(CS134:CS145)/12)</f>
        <v>#N/A</v>
      </c>
      <c r="DG137" s="351"/>
      <c r="DH137" s="8">
        <f t="shared" si="373"/>
        <v>0</v>
      </c>
      <c r="DI137" s="123">
        <f t="shared" si="309"/>
        <v>7350</v>
      </c>
      <c r="DJ137" s="2">
        <f t="shared" si="374"/>
        <v>0</v>
      </c>
      <c r="DK137" s="127">
        <f>DK145/12*4</f>
        <v>2600</v>
      </c>
      <c r="DL137" s="2">
        <f t="shared" si="375"/>
        <v>650</v>
      </c>
      <c r="DM137" s="130">
        <f t="shared" si="376"/>
        <v>0</v>
      </c>
      <c r="DN137" s="3">
        <f>DN145/12*4</f>
        <v>1000</v>
      </c>
      <c r="DO137" s="130">
        <f t="shared" si="377"/>
        <v>250</v>
      </c>
      <c r="DP137" s="4">
        <f t="shared" si="378"/>
        <v>0</v>
      </c>
      <c r="DQ137" s="116">
        <f t="shared" si="379"/>
        <v>3750</v>
      </c>
      <c r="DR137" s="116">
        <f t="shared" si="384"/>
        <v>1150</v>
      </c>
    </row>
    <row r="138" spans="1:122" ht="14.25" customHeight="1" thickBot="1" x14ac:dyDescent="0.2">
      <c r="A138" s="416"/>
      <c r="B138" s="16">
        <v>47515</v>
      </c>
      <c r="C138" s="207">
        <f>'PV-Felder'!$I$3</f>
        <v>922.2</v>
      </c>
      <c r="D138" s="351"/>
      <c r="E138" s="61">
        <v>0</v>
      </c>
      <c r="F138" s="351"/>
      <c r="G138" s="56" t="e">
        <f t="shared" ca="1" si="339"/>
        <v>#N/A</v>
      </c>
      <c r="H138" s="351"/>
      <c r="I138" s="61">
        <v>0</v>
      </c>
      <c r="J138" s="351"/>
      <c r="K138" s="61">
        <v>0</v>
      </c>
      <c r="L138" s="351"/>
      <c r="M138" s="65">
        <f t="shared" si="358"/>
        <v>0</v>
      </c>
      <c r="N138" s="373"/>
      <c r="O138" s="288"/>
      <c r="P138" s="288"/>
      <c r="Q138" s="286">
        <f t="shared" si="340"/>
        <v>0</v>
      </c>
      <c r="R138" s="334"/>
      <c r="S138" s="61">
        <v>0</v>
      </c>
      <c r="T138" s="376"/>
      <c r="U138" s="61">
        <v>0</v>
      </c>
      <c r="V138" s="342"/>
      <c r="W138" s="61">
        <v>0</v>
      </c>
      <c r="X138" s="342"/>
      <c r="Y138" s="211" t="e">
        <f t="shared" si="272"/>
        <v>#N/A</v>
      </c>
      <c r="Z138" s="370"/>
      <c r="AA138" s="61">
        <v>0</v>
      </c>
      <c r="AB138" s="351"/>
      <c r="AC138" s="61">
        <v>0</v>
      </c>
      <c r="AD138" s="351"/>
      <c r="AE138" s="73" t="e">
        <f t="shared" si="303"/>
        <v>#N/A</v>
      </c>
      <c r="AF138" s="356"/>
      <c r="AG138" s="73" t="e">
        <f t="shared" si="304"/>
        <v>#N/A</v>
      </c>
      <c r="AH138" s="356"/>
      <c r="AI138" s="221">
        <f t="shared" si="380"/>
        <v>29.26</v>
      </c>
      <c r="AJ138" s="78">
        <f t="shared" ref="AJ138:AP138" si="386">AJ137</f>
        <v>0.26750000000000002</v>
      </c>
      <c r="AK138" s="79">
        <f t="shared" si="386"/>
        <v>9.9166666666666661</v>
      </c>
      <c r="AL138" s="80">
        <f t="shared" si="386"/>
        <v>187</v>
      </c>
      <c r="AM138" s="78">
        <f t="shared" si="386"/>
        <v>9.737942583732058E-2</v>
      </c>
      <c r="AN138" s="80">
        <f t="shared" si="386"/>
        <v>143</v>
      </c>
      <c r="AO138" s="78">
        <f t="shared" si="386"/>
        <v>0.21099999999999999</v>
      </c>
      <c r="AP138" s="88">
        <f t="shared" si="386"/>
        <v>12</v>
      </c>
      <c r="AQ138" s="64">
        <f t="shared" si="364"/>
        <v>21.5</v>
      </c>
      <c r="AR138" s="64">
        <f t="shared" si="365"/>
        <v>11.5</v>
      </c>
      <c r="AS138" s="88">
        <f t="shared" si="366"/>
        <v>1.1830000000000001</v>
      </c>
      <c r="AT138" s="91">
        <f t="shared" si="249"/>
        <v>283</v>
      </c>
      <c r="AU138" s="94"/>
      <c r="AV138" s="95"/>
      <c r="AW138" s="56">
        <f t="shared" si="342"/>
        <v>0</v>
      </c>
      <c r="AX138" s="351"/>
      <c r="AY138" s="100">
        <f t="shared" si="371"/>
        <v>9.9166666666666661</v>
      </c>
      <c r="AZ138" s="360"/>
      <c r="BA138" s="91">
        <f t="shared" si="372"/>
        <v>-1283.8625470000004</v>
      </c>
      <c r="BB138" s="5">
        <f t="shared" si="306"/>
        <v>-9.9166666666666661</v>
      </c>
      <c r="BC138" s="363"/>
      <c r="BD138" s="91" t="e">
        <f t="shared" ca="1" si="343"/>
        <v>#N/A</v>
      </c>
      <c r="BE138" s="91" t="e">
        <f t="shared" ca="1" si="344"/>
        <v>#N/A</v>
      </c>
      <c r="BF138" s="91">
        <f t="shared" si="345"/>
        <v>31.833333333333329</v>
      </c>
      <c r="BG138" s="91" t="e">
        <f t="shared" ca="1" si="346"/>
        <v>#N/A</v>
      </c>
      <c r="BH138" s="91" t="e">
        <f t="shared" ca="1" si="221"/>
        <v>#N/A</v>
      </c>
      <c r="BI138" s="10" t="e">
        <f t="shared" ca="1" si="360"/>
        <v>#N/A</v>
      </c>
      <c r="BJ138" s="104">
        <f>((M138+Q138)*AJ138+AK138)+((U138-W138+W138/('Vergleich Holz Strom'!$B$8-0.6))*AO138+AP138)</f>
        <v>21.916666666666664</v>
      </c>
      <c r="BK138" s="10" t="e">
        <f t="shared" ca="1" si="307"/>
        <v>#N/A</v>
      </c>
      <c r="BL138" s="379"/>
      <c r="BM138" s="104" t="e">
        <f t="shared" ca="1" si="356"/>
        <v>#N/A</v>
      </c>
      <c r="BN138" s="40" t="e">
        <f ca="1">IF(ISNUMBER(BK138),BN137+SUMIF(BK134:BK145,"&lt;&gt;#NV",BK134:BK145)/COUNTIF(BK134:BK145,"&lt;&gt;#NV"),#N/A)</f>
        <v>#N/A</v>
      </c>
      <c r="BO138" s="10" t="e">
        <f t="shared" ca="1" si="361"/>
        <v>#N/A</v>
      </c>
      <c r="BP138" s="104" t="e">
        <f t="shared" ca="1" si="308"/>
        <v>#N/A</v>
      </c>
      <c r="BQ138" s="104">
        <f t="shared" ca="1" si="319"/>
        <v>-60611.94205317265</v>
      </c>
      <c r="BR138" s="10">
        <f t="shared" si="347"/>
        <v>9.9166666666666661</v>
      </c>
      <c r="BS138" s="311"/>
      <c r="BT138" s="307"/>
      <c r="BU138" s="295">
        <f t="shared" si="348"/>
        <v>0</v>
      </c>
      <c r="BV138" s="323"/>
      <c r="BW138" s="299">
        <f t="shared" si="349"/>
        <v>0</v>
      </c>
      <c r="BX138" s="295">
        <f t="shared" si="350"/>
        <v>0</v>
      </c>
      <c r="BY138" s="382"/>
      <c r="BZ138" s="299">
        <f t="shared" si="357"/>
        <v>0</v>
      </c>
      <c r="CA138" s="295">
        <f t="shared" si="362"/>
        <v>0</v>
      </c>
      <c r="CB138" s="323"/>
      <c r="CC138" s="314">
        <f t="shared" si="382"/>
        <v>0</v>
      </c>
      <c r="CD138" s="326"/>
      <c r="CE138" s="299">
        <f t="shared" si="351"/>
        <v>0</v>
      </c>
      <c r="CF138" s="284">
        <f t="shared" si="383"/>
        <v>0</v>
      </c>
      <c r="CG138" s="323"/>
      <c r="CH138" s="302">
        <f t="shared" si="217"/>
        <v>0</v>
      </c>
      <c r="CI138" s="108">
        <f t="shared" si="352"/>
        <v>0</v>
      </c>
      <c r="CJ138" s="200">
        <f t="shared" si="353"/>
        <v>0</v>
      </c>
      <c r="CK138" s="197">
        <f t="shared" si="369"/>
        <v>0</v>
      </c>
      <c r="CL138" s="203">
        <f t="shared" si="354"/>
        <v>12</v>
      </c>
      <c r="CM138" s="4">
        <f>U138*Jahresdaten!$AD$2</f>
        <v>0</v>
      </c>
      <c r="CN138" s="112">
        <f>CJ138*Jahresdaten!$AD$2</f>
        <v>0</v>
      </c>
      <c r="CO138" s="366"/>
      <c r="CP138" s="116">
        <f>U138*Jahresdaten!$AD$3</f>
        <v>0</v>
      </c>
      <c r="CQ138" s="12">
        <f>CJ138*Jahresdaten!$AD$3</f>
        <v>0</v>
      </c>
      <c r="CR138" s="353"/>
      <c r="CS138" s="14"/>
      <c r="CT138" s="136"/>
      <c r="CU138" s="140" t="str">
        <f>IF(CT138=0,"",CT138*'Vergleich Holz Strom'!$B$2)</f>
        <v/>
      </c>
      <c r="CV138" s="353"/>
      <c r="CW138" s="366"/>
      <c r="CX138" s="345"/>
      <c r="CY138" s="345"/>
      <c r="CZ138" s="345"/>
      <c r="DA138" s="348"/>
      <c r="DB138" s="94"/>
      <c r="DC138" s="88">
        <f t="shared" si="281"/>
        <v>22152.927999999982</v>
      </c>
      <c r="DD138" s="94"/>
      <c r="DE138" s="88">
        <f t="shared" si="284"/>
        <v>-16984.112547000001</v>
      </c>
      <c r="DF138" s="100" t="e">
        <f ca="1">BE138+(SUM(CS134:CS145)/12)</f>
        <v>#N/A</v>
      </c>
      <c r="DG138" s="351"/>
      <c r="DH138" s="8">
        <f t="shared" si="373"/>
        <v>0</v>
      </c>
      <c r="DI138" s="123">
        <f t="shared" si="309"/>
        <v>9600</v>
      </c>
      <c r="DJ138" s="2">
        <f t="shared" si="374"/>
        <v>0</v>
      </c>
      <c r="DK138" s="127">
        <f>DK145/12*5</f>
        <v>3250</v>
      </c>
      <c r="DL138" s="2">
        <f t="shared" si="375"/>
        <v>650</v>
      </c>
      <c r="DM138" s="130">
        <f t="shared" si="376"/>
        <v>0</v>
      </c>
      <c r="DN138" s="3">
        <f>DN145/12*5</f>
        <v>1250</v>
      </c>
      <c r="DO138" s="130">
        <f t="shared" si="377"/>
        <v>250</v>
      </c>
      <c r="DP138" s="4">
        <f t="shared" si="378"/>
        <v>0</v>
      </c>
      <c r="DQ138" s="116">
        <f t="shared" si="379"/>
        <v>5100</v>
      </c>
      <c r="DR138" s="116">
        <f t="shared" si="384"/>
        <v>1350</v>
      </c>
    </row>
    <row r="139" spans="1:122" ht="14.25" customHeight="1" thickBot="1" x14ac:dyDescent="0.2">
      <c r="A139" s="416"/>
      <c r="B139" s="16">
        <v>47543</v>
      </c>
      <c r="C139" s="207">
        <f>'PV-Felder'!$I$4</f>
        <v>1860</v>
      </c>
      <c r="D139" s="351"/>
      <c r="E139" s="61">
        <v>0</v>
      </c>
      <c r="F139" s="351"/>
      <c r="G139" s="56" t="e">
        <f t="shared" ca="1" si="339"/>
        <v>#N/A</v>
      </c>
      <c r="H139" s="351"/>
      <c r="I139" s="61">
        <v>0</v>
      </c>
      <c r="J139" s="351"/>
      <c r="K139" s="61">
        <v>0</v>
      </c>
      <c r="L139" s="351"/>
      <c r="M139" s="65">
        <f t="shared" si="358"/>
        <v>0</v>
      </c>
      <c r="N139" s="373"/>
      <c r="O139" s="288"/>
      <c r="P139" s="288"/>
      <c r="Q139" s="286">
        <f t="shared" si="340"/>
        <v>0</v>
      </c>
      <c r="R139" s="334"/>
      <c r="S139" s="61">
        <v>0</v>
      </c>
      <c r="T139" s="376"/>
      <c r="U139" s="61">
        <v>0</v>
      </c>
      <c r="V139" s="342"/>
      <c r="W139" s="61">
        <v>0</v>
      </c>
      <c r="X139" s="342"/>
      <c r="Y139" s="211" t="e">
        <f t="shared" si="272"/>
        <v>#N/A</v>
      </c>
      <c r="Z139" s="370"/>
      <c r="AA139" s="61">
        <v>0</v>
      </c>
      <c r="AB139" s="351"/>
      <c r="AC139" s="61">
        <v>0</v>
      </c>
      <c r="AD139" s="351"/>
      <c r="AE139" s="73" t="e">
        <f t="shared" si="303"/>
        <v>#N/A</v>
      </c>
      <c r="AF139" s="356"/>
      <c r="AG139" s="73" t="e">
        <f t="shared" si="304"/>
        <v>#N/A</v>
      </c>
      <c r="AH139" s="356"/>
      <c r="AI139" s="221">
        <f t="shared" si="380"/>
        <v>29.26</v>
      </c>
      <c r="AJ139" s="78">
        <f t="shared" ref="AJ139:AP139" si="387">AJ138</f>
        <v>0.26750000000000002</v>
      </c>
      <c r="AK139" s="79">
        <f t="shared" si="387"/>
        <v>9.9166666666666661</v>
      </c>
      <c r="AL139" s="80">
        <f t="shared" si="387"/>
        <v>187</v>
      </c>
      <c r="AM139" s="78">
        <f t="shared" si="387"/>
        <v>9.737942583732058E-2</v>
      </c>
      <c r="AN139" s="80">
        <f t="shared" si="387"/>
        <v>143</v>
      </c>
      <c r="AO139" s="78">
        <f t="shared" si="387"/>
        <v>0.21099999999999999</v>
      </c>
      <c r="AP139" s="88">
        <f t="shared" si="387"/>
        <v>12</v>
      </c>
      <c r="AQ139" s="64">
        <f t="shared" si="364"/>
        <v>21.5</v>
      </c>
      <c r="AR139" s="64">
        <f t="shared" si="365"/>
        <v>11.5</v>
      </c>
      <c r="AS139" s="88">
        <f t="shared" si="366"/>
        <v>1.1830000000000001</v>
      </c>
      <c r="AT139" s="91">
        <f t="shared" si="249"/>
        <v>283</v>
      </c>
      <c r="AU139" s="94"/>
      <c r="AV139" s="95"/>
      <c r="AW139" s="56">
        <f t="shared" si="342"/>
        <v>0</v>
      </c>
      <c r="AX139" s="351"/>
      <c r="AY139" s="100">
        <f t="shared" si="371"/>
        <v>9.9166666666666661</v>
      </c>
      <c r="AZ139" s="360"/>
      <c r="BA139" s="91">
        <f t="shared" si="372"/>
        <v>-1293.7792136666671</v>
      </c>
      <c r="BB139" s="5">
        <f t="shared" si="306"/>
        <v>-9.9166666666666661</v>
      </c>
      <c r="BC139" s="363"/>
      <c r="BD139" s="91" t="e">
        <f t="shared" ca="1" si="343"/>
        <v>#N/A</v>
      </c>
      <c r="BE139" s="91" t="e">
        <f t="shared" ca="1" si="344"/>
        <v>#N/A</v>
      </c>
      <c r="BF139" s="91">
        <f t="shared" si="345"/>
        <v>31.833333333333329</v>
      </c>
      <c r="BG139" s="91" t="e">
        <f t="shared" ca="1" si="346"/>
        <v>#N/A</v>
      </c>
      <c r="BH139" s="91" t="e">
        <f t="shared" ca="1" si="221"/>
        <v>#N/A</v>
      </c>
      <c r="BI139" s="10" t="e">
        <f t="shared" ca="1" si="360"/>
        <v>#N/A</v>
      </c>
      <c r="BJ139" s="104">
        <f>((M139+Q139)*AJ139+AK139)+((U139-W139+W139/('Vergleich Holz Strom'!$B$8-0.6))*AO139+AP139)</f>
        <v>21.916666666666664</v>
      </c>
      <c r="BK139" s="10" t="e">
        <f t="shared" ca="1" si="307"/>
        <v>#N/A</v>
      </c>
      <c r="BL139" s="379"/>
      <c r="BM139" s="104" t="e">
        <f t="shared" ca="1" si="356"/>
        <v>#N/A</v>
      </c>
      <c r="BN139" s="40" t="e">
        <f ca="1">IF(ISNUMBER(BK139),BN138+SUMIF(BK134:BK145,"&lt;&gt;#NV",BK134:BK145)/COUNTIF(BK134:BK145,"&lt;&gt;#NV"),#N/A)</f>
        <v>#N/A</v>
      </c>
      <c r="BO139" s="10" t="e">
        <f t="shared" ca="1" si="361"/>
        <v>#N/A</v>
      </c>
      <c r="BP139" s="104" t="e">
        <f t="shared" ca="1" si="308"/>
        <v>#N/A</v>
      </c>
      <c r="BQ139" s="104">
        <f t="shared" ca="1" si="319"/>
        <v>-60592.742053172653</v>
      </c>
      <c r="BR139" s="10">
        <f t="shared" si="347"/>
        <v>9.9166666666666661</v>
      </c>
      <c r="BS139" s="311"/>
      <c r="BT139" s="307"/>
      <c r="BU139" s="295">
        <f t="shared" si="348"/>
        <v>0</v>
      </c>
      <c r="BV139" s="323"/>
      <c r="BW139" s="299">
        <f t="shared" si="349"/>
        <v>0</v>
      </c>
      <c r="BX139" s="295">
        <f t="shared" si="350"/>
        <v>0</v>
      </c>
      <c r="BY139" s="382"/>
      <c r="BZ139" s="299">
        <f t="shared" si="357"/>
        <v>0</v>
      </c>
      <c r="CA139" s="295">
        <f t="shared" si="362"/>
        <v>0</v>
      </c>
      <c r="CB139" s="323"/>
      <c r="CC139" s="314">
        <f t="shared" si="382"/>
        <v>0</v>
      </c>
      <c r="CD139" s="326"/>
      <c r="CE139" s="299">
        <f t="shared" si="351"/>
        <v>0</v>
      </c>
      <c r="CF139" s="284">
        <f t="shared" si="383"/>
        <v>0</v>
      </c>
      <c r="CG139" s="323"/>
      <c r="CH139" s="302">
        <f t="shared" si="217"/>
        <v>0</v>
      </c>
      <c r="CI139" s="108">
        <f t="shared" si="352"/>
        <v>0</v>
      </c>
      <c r="CJ139" s="200">
        <f t="shared" si="353"/>
        <v>0</v>
      </c>
      <c r="CK139" s="197">
        <f t="shared" si="369"/>
        <v>0</v>
      </c>
      <c r="CL139" s="203">
        <f t="shared" si="354"/>
        <v>12</v>
      </c>
      <c r="CM139" s="4">
        <f>U139*Jahresdaten!$AD$2</f>
        <v>0</v>
      </c>
      <c r="CN139" s="112">
        <f>CJ139*Jahresdaten!$AD$2</f>
        <v>0</v>
      </c>
      <c r="CO139" s="366"/>
      <c r="CP139" s="116">
        <f>U139*Jahresdaten!$AD$3</f>
        <v>0</v>
      </c>
      <c r="CQ139" s="12">
        <f>CJ139*Jahresdaten!$AD$3</f>
        <v>0</v>
      </c>
      <c r="CR139" s="353"/>
      <c r="CS139" s="14"/>
      <c r="CT139" s="136"/>
      <c r="CU139" s="140" t="str">
        <f>IF(CT139=0,"",CT139*'Vergleich Holz Strom'!$B$2)</f>
        <v/>
      </c>
      <c r="CV139" s="353"/>
      <c r="CW139" s="366"/>
      <c r="CX139" s="345"/>
      <c r="CY139" s="345"/>
      <c r="CZ139" s="345"/>
      <c r="DA139" s="348"/>
      <c r="DB139" s="94"/>
      <c r="DC139" s="88">
        <f t="shared" si="281"/>
        <v>22330.011333333314</v>
      </c>
      <c r="DD139" s="94"/>
      <c r="DE139" s="88">
        <f t="shared" si="284"/>
        <v>-17127.112547000001</v>
      </c>
      <c r="DF139" s="100" t="e">
        <f ca="1">BE139+(SUM(CS134:CS145)/12)</f>
        <v>#N/A</v>
      </c>
      <c r="DG139" s="351"/>
      <c r="DH139" s="8">
        <f t="shared" si="373"/>
        <v>0</v>
      </c>
      <c r="DI139" s="123">
        <f t="shared" si="309"/>
        <v>11850</v>
      </c>
      <c r="DJ139" s="2">
        <f t="shared" si="374"/>
        <v>0</v>
      </c>
      <c r="DK139" s="127">
        <f>DK145/12*6</f>
        <v>3900</v>
      </c>
      <c r="DL139" s="2">
        <f t="shared" si="375"/>
        <v>650</v>
      </c>
      <c r="DM139" s="130">
        <f t="shared" si="376"/>
        <v>0</v>
      </c>
      <c r="DN139" s="3">
        <f>DN145/12*6</f>
        <v>1500</v>
      </c>
      <c r="DO139" s="130">
        <f t="shared" si="377"/>
        <v>250</v>
      </c>
      <c r="DP139" s="4">
        <f t="shared" si="378"/>
        <v>0</v>
      </c>
      <c r="DQ139" s="116">
        <f t="shared" si="379"/>
        <v>6450</v>
      </c>
      <c r="DR139" s="116">
        <f t="shared" si="384"/>
        <v>1350</v>
      </c>
    </row>
    <row r="140" spans="1:122" ht="15" customHeight="1" thickBot="1" x14ac:dyDescent="0.2">
      <c r="A140" s="416"/>
      <c r="B140" s="16">
        <v>47574</v>
      </c>
      <c r="C140" s="207">
        <f>'PV-Felder'!$I$5</f>
        <v>2887.3</v>
      </c>
      <c r="D140" s="351"/>
      <c r="E140" s="61">
        <v>0</v>
      </c>
      <c r="F140" s="351"/>
      <c r="G140" s="56" t="e">
        <f t="shared" ca="1" si="339"/>
        <v>#N/A</v>
      </c>
      <c r="H140" s="351"/>
      <c r="I140" s="61">
        <v>0</v>
      </c>
      <c r="J140" s="351"/>
      <c r="K140" s="61">
        <v>0</v>
      </c>
      <c r="L140" s="351"/>
      <c r="M140" s="65">
        <f t="shared" si="358"/>
        <v>0</v>
      </c>
      <c r="N140" s="373"/>
      <c r="O140" s="288"/>
      <c r="P140" s="288"/>
      <c r="Q140" s="286">
        <f t="shared" si="340"/>
        <v>0</v>
      </c>
      <c r="R140" s="334"/>
      <c r="S140" s="61">
        <v>0</v>
      </c>
      <c r="T140" s="376"/>
      <c r="U140" s="61">
        <v>0</v>
      </c>
      <c r="V140" s="342"/>
      <c r="W140" s="61">
        <v>0</v>
      </c>
      <c r="X140" s="342"/>
      <c r="Y140" s="211" t="e">
        <f t="shared" si="272"/>
        <v>#N/A</v>
      </c>
      <c r="Z140" s="370"/>
      <c r="AA140" s="61">
        <v>0</v>
      </c>
      <c r="AB140" s="351"/>
      <c r="AC140" s="61">
        <v>0</v>
      </c>
      <c r="AD140" s="351"/>
      <c r="AE140" s="73" t="e">
        <f t="shared" si="303"/>
        <v>#N/A</v>
      </c>
      <c r="AF140" s="356"/>
      <c r="AG140" s="73" t="e">
        <f t="shared" si="304"/>
        <v>#N/A</v>
      </c>
      <c r="AH140" s="356"/>
      <c r="AI140" s="221">
        <f t="shared" si="380"/>
        <v>29.26</v>
      </c>
      <c r="AJ140" s="78">
        <f t="shared" ref="AJ140:AP140" si="388">AJ139</f>
        <v>0.26750000000000002</v>
      </c>
      <c r="AK140" s="79">
        <f t="shared" si="388"/>
        <v>9.9166666666666661</v>
      </c>
      <c r="AL140" s="80">
        <f t="shared" si="388"/>
        <v>187</v>
      </c>
      <c r="AM140" s="78">
        <f t="shared" si="388"/>
        <v>9.737942583732058E-2</v>
      </c>
      <c r="AN140" s="80">
        <f t="shared" si="388"/>
        <v>143</v>
      </c>
      <c r="AO140" s="78">
        <f t="shared" si="388"/>
        <v>0.21099999999999999</v>
      </c>
      <c r="AP140" s="88">
        <f t="shared" si="388"/>
        <v>12</v>
      </c>
      <c r="AQ140" s="64">
        <f t="shared" si="364"/>
        <v>21.5</v>
      </c>
      <c r="AR140" s="64">
        <f t="shared" si="365"/>
        <v>11.5</v>
      </c>
      <c r="AS140" s="88">
        <f t="shared" si="366"/>
        <v>1.1830000000000001</v>
      </c>
      <c r="AT140" s="91">
        <f t="shared" si="249"/>
        <v>283</v>
      </c>
      <c r="AU140" s="94"/>
      <c r="AV140" s="95"/>
      <c r="AW140" s="56">
        <f t="shared" si="342"/>
        <v>0</v>
      </c>
      <c r="AX140" s="351"/>
      <c r="AY140" s="100">
        <f t="shared" si="371"/>
        <v>9.9166666666666661</v>
      </c>
      <c r="AZ140" s="360"/>
      <c r="BA140" s="91">
        <f t="shared" si="372"/>
        <v>-1303.6958803333339</v>
      </c>
      <c r="BB140" s="5">
        <f t="shared" si="306"/>
        <v>-9.9166666666666661</v>
      </c>
      <c r="BC140" s="363"/>
      <c r="BD140" s="91" t="e">
        <f t="shared" ca="1" si="343"/>
        <v>#N/A</v>
      </c>
      <c r="BE140" s="91" t="e">
        <f t="shared" ca="1" si="344"/>
        <v>#N/A</v>
      </c>
      <c r="BF140" s="91">
        <f t="shared" si="345"/>
        <v>31.833333333333329</v>
      </c>
      <c r="BG140" s="91" t="e">
        <f t="shared" ca="1" si="346"/>
        <v>#N/A</v>
      </c>
      <c r="BH140" s="91" t="e">
        <f t="shared" ca="1" si="221"/>
        <v>#N/A</v>
      </c>
      <c r="BI140" s="10" t="e">
        <f t="shared" ca="1" si="360"/>
        <v>#N/A</v>
      </c>
      <c r="BJ140" s="104">
        <f>((M140+Q140)*AJ140+AK140)+((U140-W140+W140/('Vergleich Holz Strom'!$B$8-0.6))*AO140+AP140)</f>
        <v>21.916666666666664</v>
      </c>
      <c r="BK140" s="10" t="e">
        <f t="shared" ca="1" si="307"/>
        <v>#N/A</v>
      </c>
      <c r="BL140" s="379"/>
      <c r="BM140" s="104" t="e">
        <f t="shared" ca="1" si="356"/>
        <v>#N/A</v>
      </c>
      <c r="BN140" s="40" t="e">
        <f ca="1">IF(ISNUMBER(BK140),BN139+SUMIF(BK134:BK145,"&lt;&gt;#NV",BK134:BK145)/COUNTIF(BK134:BK145,"&lt;&gt;#NV"),#N/A)</f>
        <v>#N/A</v>
      </c>
      <c r="BO140" s="10" t="e">
        <f t="shared" ca="1" si="361"/>
        <v>#N/A</v>
      </c>
      <c r="BP140" s="104" t="e">
        <f t="shared" ca="1" si="308"/>
        <v>#N/A</v>
      </c>
      <c r="BQ140" s="104">
        <f t="shared" ca="1" si="319"/>
        <v>-60573.542053172627</v>
      </c>
      <c r="BR140" s="10">
        <f t="shared" si="347"/>
        <v>9.9166666666666661</v>
      </c>
      <c r="BS140" s="311"/>
      <c r="BT140" s="307"/>
      <c r="BU140" s="295">
        <f t="shared" si="348"/>
        <v>0</v>
      </c>
      <c r="BV140" s="323"/>
      <c r="BW140" s="299">
        <f t="shared" si="349"/>
        <v>0</v>
      </c>
      <c r="BX140" s="295">
        <f t="shared" si="350"/>
        <v>0</v>
      </c>
      <c r="BY140" s="382"/>
      <c r="BZ140" s="299">
        <f t="shared" si="357"/>
        <v>0</v>
      </c>
      <c r="CA140" s="295">
        <f t="shared" si="362"/>
        <v>0</v>
      </c>
      <c r="CB140" s="323"/>
      <c r="CC140" s="314">
        <f t="shared" si="382"/>
        <v>0</v>
      </c>
      <c r="CD140" s="326"/>
      <c r="CE140" s="299">
        <f t="shared" si="351"/>
        <v>0</v>
      </c>
      <c r="CF140" s="284">
        <f t="shared" si="383"/>
        <v>0</v>
      </c>
      <c r="CG140" s="323"/>
      <c r="CH140" s="302">
        <f t="shared" ref="CH140:CH203" si="389">CH139+CF140</f>
        <v>0</v>
      </c>
      <c r="CI140" s="108">
        <f t="shared" si="352"/>
        <v>0</v>
      </c>
      <c r="CJ140" s="200">
        <f t="shared" si="353"/>
        <v>0</v>
      </c>
      <c r="CK140" s="197">
        <f t="shared" si="369"/>
        <v>0</v>
      </c>
      <c r="CL140" s="203">
        <f t="shared" si="354"/>
        <v>12</v>
      </c>
      <c r="CM140" s="4">
        <f>U140*Jahresdaten!$AD$2</f>
        <v>0</v>
      </c>
      <c r="CN140" s="112">
        <f>CJ140*Jahresdaten!$AD$2</f>
        <v>0</v>
      </c>
      <c r="CO140" s="366"/>
      <c r="CP140" s="116">
        <f>U140*Jahresdaten!$AD$3</f>
        <v>0</v>
      </c>
      <c r="CQ140" s="12">
        <f>CJ140*Jahresdaten!$AD$3</f>
        <v>0</v>
      </c>
      <c r="CR140" s="353"/>
      <c r="CS140" s="14"/>
      <c r="CT140" s="136"/>
      <c r="CU140" s="140" t="str">
        <f>IF(CT140=0,"",CT140*'Vergleich Holz Strom'!$B$2)</f>
        <v/>
      </c>
      <c r="CV140" s="121" t="s">
        <v>6</v>
      </c>
      <c r="CW140" s="366"/>
      <c r="CX140" s="345"/>
      <c r="CY140" s="345"/>
      <c r="CZ140" s="345"/>
      <c r="DA140" s="348"/>
      <c r="DB140" s="94"/>
      <c r="DC140" s="88">
        <f t="shared" si="281"/>
        <v>22507.094666666646</v>
      </c>
      <c r="DD140" s="94"/>
      <c r="DE140" s="88">
        <f t="shared" si="284"/>
        <v>-17270.112547000001</v>
      </c>
      <c r="DF140" s="100" t="e">
        <f ca="1">BE140+(SUM(CS134:CS145)/12)</f>
        <v>#N/A</v>
      </c>
      <c r="DG140" s="351"/>
      <c r="DH140" s="8">
        <f t="shared" si="373"/>
        <v>0</v>
      </c>
      <c r="DI140" s="123">
        <f t="shared" si="309"/>
        <v>14000</v>
      </c>
      <c r="DJ140" s="2">
        <f t="shared" si="374"/>
        <v>0</v>
      </c>
      <c r="DK140" s="127">
        <f>DK145/12*7</f>
        <v>4550</v>
      </c>
      <c r="DL140" s="2">
        <f t="shared" si="375"/>
        <v>650</v>
      </c>
      <c r="DM140" s="130">
        <f t="shared" si="376"/>
        <v>0</v>
      </c>
      <c r="DN140" s="3">
        <f>DN145/12*7</f>
        <v>1750</v>
      </c>
      <c r="DO140" s="130">
        <f t="shared" si="377"/>
        <v>250</v>
      </c>
      <c r="DP140" s="4">
        <f t="shared" si="378"/>
        <v>0</v>
      </c>
      <c r="DQ140" s="116">
        <f t="shared" si="379"/>
        <v>7700</v>
      </c>
      <c r="DR140" s="116">
        <f t="shared" si="384"/>
        <v>1250</v>
      </c>
    </row>
    <row r="141" spans="1:122" ht="14.25" customHeight="1" thickBot="1" x14ac:dyDescent="0.2">
      <c r="A141" s="416"/>
      <c r="B141" s="16">
        <v>47604</v>
      </c>
      <c r="C141" s="207">
        <f>'PV-Felder'!$I$6</f>
        <v>3391.3999999999996</v>
      </c>
      <c r="D141" s="351"/>
      <c r="E141" s="61">
        <v>0</v>
      </c>
      <c r="F141" s="351"/>
      <c r="G141" s="56" t="e">
        <f t="shared" ca="1" si="339"/>
        <v>#N/A</v>
      </c>
      <c r="H141" s="351"/>
      <c r="I141" s="61">
        <v>0</v>
      </c>
      <c r="J141" s="351"/>
      <c r="K141" s="61">
        <v>0</v>
      </c>
      <c r="L141" s="351"/>
      <c r="M141" s="65">
        <f t="shared" si="358"/>
        <v>0</v>
      </c>
      <c r="N141" s="373"/>
      <c r="O141" s="288"/>
      <c r="P141" s="288"/>
      <c r="Q141" s="286">
        <f t="shared" si="340"/>
        <v>0</v>
      </c>
      <c r="R141" s="334"/>
      <c r="S141" s="61">
        <v>0</v>
      </c>
      <c r="T141" s="376"/>
      <c r="U141" s="61">
        <v>0</v>
      </c>
      <c r="V141" s="342"/>
      <c r="W141" s="61">
        <v>0</v>
      </c>
      <c r="X141" s="342"/>
      <c r="Y141" s="211" t="e">
        <f t="shared" si="272"/>
        <v>#N/A</v>
      </c>
      <c r="Z141" s="370"/>
      <c r="AA141" s="61">
        <v>0</v>
      </c>
      <c r="AB141" s="351"/>
      <c r="AC141" s="61">
        <v>0</v>
      </c>
      <c r="AD141" s="351"/>
      <c r="AE141" s="73" t="e">
        <f t="shared" si="303"/>
        <v>#N/A</v>
      </c>
      <c r="AF141" s="356"/>
      <c r="AG141" s="73" t="e">
        <f t="shared" si="304"/>
        <v>#N/A</v>
      </c>
      <c r="AH141" s="356"/>
      <c r="AI141" s="221">
        <f t="shared" si="380"/>
        <v>29.26</v>
      </c>
      <c r="AJ141" s="78">
        <f t="shared" ref="AJ141:AP141" si="390">AJ140</f>
        <v>0.26750000000000002</v>
      </c>
      <c r="AK141" s="79">
        <f t="shared" si="390"/>
        <v>9.9166666666666661</v>
      </c>
      <c r="AL141" s="80">
        <f t="shared" si="390"/>
        <v>187</v>
      </c>
      <c r="AM141" s="78">
        <f t="shared" si="390"/>
        <v>9.737942583732058E-2</v>
      </c>
      <c r="AN141" s="80">
        <f t="shared" si="390"/>
        <v>143</v>
      </c>
      <c r="AO141" s="78">
        <f t="shared" si="390"/>
        <v>0.21099999999999999</v>
      </c>
      <c r="AP141" s="88">
        <f t="shared" si="390"/>
        <v>12</v>
      </c>
      <c r="AQ141" s="64">
        <f t="shared" si="364"/>
        <v>21.5</v>
      </c>
      <c r="AR141" s="64">
        <f t="shared" si="365"/>
        <v>11.5</v>
      </c>
      <c r="AS141" s="88">
        <f t="shared" si="366"/>
        <v>1.1830000000000001</v>
      </c>
      <c r="AT141" s="91">
        <f t="shared" si="249"/>
        <v>283</v>
      </c>
      <c r="AU141" s="94"/>
      <c r="AV141" s="95"/>
      <c r="AW141" s="56">
        <f t="shared" si="342"/>
        <v>0</v>
      </c>
      <c r="AX141" s="351"/>
      <c r="AY141" s="100">
        <f t="shared" si="371"/>
        <v>9.9166666666666661</v>
      </c>
      <c r="AZ141" s="360"/>
      <c r="BA141" s="91">
        <f t="shared" si="372"/>
        <v>-1313.6125470000006</v>
      </c>
      <c r="BB141" s="5">
        <f t="shared" si="306"/>
        <v>-9.9166666666666661</v>
      </c>
      <c r="BC141" s="363"/>
      <c r="BD141" s="91" t="e">
        <f t="shared" ca="1" si="343"/>
        <v>#N/A</v>
      </c>
      <c r="BE141" s="91" t="e">
        <f t="shared" ca="1" si="344"/>
        <v>#N/A</v>
      </c>
      <c r="BF141" s="91">
        <f t="shared" si="345"/>
        <v>31.833333333333329</v>
      </c>
      <c r="BG141" s="91" t="e">
        <f t="shared" ca="1" si="346"/>
        <v>#N/A</v>
      </c>
      <c r="BH141" s="91" t="e">
        <f t="shared" ca="1" si="221"/>
        <v>#N/A</v>
      </c>
      <c r="BI141" s="10" t="e">
        <f t="shared" ca="1" si="360"/>
        <v>#N/A</v>
      </c>
      <c r="BJ141" s="104">
        <f>((M141+Q141)*AJ141+AK141)+((U141-W141+W141/('Vergleich Holz Strom'!$B$8-0.6))*AO141+AP141)</f>
        <v>21.916666666666664</v>
      </c>
      <c r="BK141" s="10" t="e">
        <f t="shared" ca="1" si="307"/>
        <v>#N/A</v>
      </c>
      <c r="BL141" s="379"/>
      <c r="BM141" s="104" t="e">
        <f t="shared" ca="1" si="356"/>
        <v>#N/A</v>
      </c>
      <c r="BN141" s="40" t="e">
        <f ca="1">IF(ISNUMBER(BK141),BN140+SUMIF(BK134:BK145,"&lt;&gt;#NV",BK134:BK145)/COUNTIF(BK134:BK145,"&lt;&gt;#NV"),#N/A)</f>
        <v>#N/A</v>
      </c>
      <c r="BO141" s="10" t="e">
        <f t="shared" ca="1" si="361"/>
        <v>#N/A</v>
      </c>
      <c r="BP141" s="104" t="e">
        <f t="shared" ca="1" si="308"/>
        <v>#N/A</v>
      </c>
      <c r="BQ141" s="104">
        <f t="shared" ca="1" si="319"/>
        <v>-60554.342053172615</v>
      </c>
      <c r="BR141" s="10">
        <f t="shared" si="347"/>
        <v>9.9166666666666661</v>
      </c>
      <c r="BS141" s="311"/>
      <c r="BT141" s="307"/>
      <c r="BU141" s="295">
        <f t="shared" si="348"/>
        <v>0</v>
      </c>
      <c r="BV141" s="323"/>
      <c r="BW141" s="299">
        <f t="shared" si="349"/>
        <v>0</v>
      </c>
      <c r="BX141" s="295">
        <f t="shared" si="350"/>
        <v>0</v>
      </c>
      <c r="BY141" s="382"/>
      <c r="BZ141" s="299">
        <f t="shared" si="357"/>
        <v>0</v>
      </c>
      <c r="CA141" s="295">
        <f t="shared" si="362"/>
        <v>0</v>
      </c>
      <c r="CB141" s="323"/>
      <c r="CC141" s="314">
        <f t="shared" si="382"/>
        <v>0</v>
      </c>
      <c r="CD141" s="326"/>
      <c r="CE141" s="299">
        <f t="shared" si="351"/>
        <v>0</v>
      </c>
      <c r="CF141" s="284">
        <f t="shared" si="383"/>
        <v>0</v>
      </c>
      <c r="CG141" s="323"/>
      <c r="CH141" s="302">
        <f t="shared" si="389"/>
        <v>0</v>
      </c>
      <c r="CI141" s="108">
        <f t="shared" si="352"/>
        <v>0</v>
      </c>
      <c r="CJ141" s="200">
        <f t="shared" si="353"/>
        <v>0</v>
      </c>
      <c r="CK141" s="197">
        <f t="shared" si="369"/>
        <v>0</v>
      </c>
      <c r="CL141" s="203">
        <f t="shared" si="354"/>
        <v>12</v>
      </c>
      <c r="CM141" s="4">
        <f>U141*Jahresdaten!$AD$2</f>
        <v>0</v>
      </c>
      <c r="CN141" s="112">
        <f>CJ141*Jahresdaten!$AD$2</f>
        <v>0</v>
      </c>
      <c r="CO141" s="366"/>
      <c r="CP141" s="116">
        <f>U141*Jahresdaten!$AD$3</f>
        <v>0</v>
      </c>
      <c r="CQ141" s="12">
        <f>CJ141*Jahresdaten!$AD$3</f>
        <v>0</v>
      </c>
      <c r="CR141" s="353"/>
      <c r="CS141" s="14"/>
      <c r="CT141" s="136"/>
      <c r="CU141" s="140" t="str">
        <f>IF(CT141=0,"",CT141*'Vergleich Holz Strom'!$B$2)</f>
        <v/>
      </c>
      <c r="CV141" s="353">
        <f>SUM(CS134:CS145)</f>
        <v>1169</v>
      </c>
      <c r="CW141" s="366"/>
      <c r="CX141" s="345"/>
      <c r="CY141" s="345"/>
      <c r="CZ141" s="345"/>
      <c r="DA141" s="348"/>
      <c r="DB141" s="94"/>
      <c r="DC141" s="88">
        <f t="shared" si="281"/>
        <v>22684.177999999978</v>
      </c>
      <c r="DD141" s="94"/>
      <c r="DE141" s="88">
        <f t="shared" si="284"/>
        <v>-17413.112547000001</v>
      </c>
      <c r="DF141" s="100" t="e">
        <f ca="1">BE141+(SUM(CS134:CS145)/12)</f>
        <v>#N/A</v>
      </c>
      <c r="DG141" s="351"/>
      <c r="DH141" s="8">
        <f t="shared" si="373"/>
        <v>0</v>
      </c>
      <c r="DI141" s="123">
        <f t="shared" si="309"/>
        <v>16000</v>
      </c>
      <c r="DJ141" s="2">
        <f t="shared" si="374"/>
        <v>0</v>
      </c>
      <c r="DK141" s="127">
        <f>DK145/12*8</f>
        <v>5200</v>
      </c>
      <c r="DL141" s="2">
        <f t="shared" si="375"/>
        <v>650</v>
      </c>
      <c r="DM141" s="130">
        <f t="shared" si="376"/>
        <v>0</v>
      </c>
      <c r="DN141" s="3">
        <f>DN145/12*8</f>
        <v>2000</v>
      </c>
      <c r="DO141" s="130">
        <f t="shared" si="377"/>
        <v>250</v>
      </c>
      <c r="DP141" s="4">
        <f t="shared" si="378"/>
        <v>0</v>
      </c>
      <c r="DQ141" s="116">
        <f t="shared" si="379"/>
        <v>8800</v>
      </c>
      <c r="DR141" s="116">
        <f t="shared" si="384"/>
        <v>1100</v>
      </c>
    </row>
    <row r="142" spans="1:122" ht="14.25" customHeight="1" thickBot="1" x14ac:dyDescent="0.2">
      <c r="A142" s="416"/>
      <c r="B142" s="16">
        <v>47635</v>
      </c>
      <c r="C142" s="207">
        <f>'PV-Felder'!$I$7</f>
        <v>3595.6000000000004</v>
      </c>
      <c r="D142" s="351"/>
      <c r="E142" s="61">
        <v>0</v>
      </c>
      <c r="F142" s="351"/>
      <c r="G142" s="56" t="e">
        <f t="shared" ca="1" si="339"/>
        <v>#N/A</v>
      </c>
      <c r="H142" s="351"/>
      <c r="I142" s="61">
        <v>0</v>
      </c>
      <c r="J142" s="351"/>
      <c r="K142" s="61">
        <v>0</v>
      </c>
      <c r="L142" s="351"/>
      <c r="M142" s="65">
        <f t="shared" si="358"/>
        <v>0</v>
      </c>
      <c r="N142" s="373"/>
      <c r="O142" s="288"/>
      <c r="P142" s="288"/>
      <c r="Q142" s="286">
        <f t="shared" si="340"/>
        <v>0</v>
      </c>
      <c r="R142" s="334"/>
      <c r="S142" s="61">
        <v>0</v>
      </c>
      <c r="T142" s="376"/>
      <c r="U142" s="61">
        <v>0</v>
      </c>
      <c r="V142" s="342"/>
      <c r="W142" s="61">
        <v>0</v>
      </c>
      <c r="X142" s="342"/>
      <c r="Y142" s="211" t="e">
        <f t="shared" si="272"/>
        <v>#N/A</v>
      </c>
      <c r="Z142" s="370"/>
      <c r="AA142" s="61">
        <v>0</v>
      </c>
      <c r="AB142" s="351"/>
      <c r="AC142" s="61">
        <v>0</v>
      </c>
      <c r="AD142" s="351"/>
      <c r="AE142" s="73" t="e">
        <f t="shared" si="303"/>
        <v>#N/A</v>
      </c>
      <c r="AF142" s="356"/>
      <c r="AG142" s="73" t="e">
        <f t="shared" si="304"/>
        <v>#N/A</v>
      </c>
      <c r="AH142" s="356"/>
      <c r="AI142" s="221">
        <f t="shared" si="380"/>
        <v>29.26</v>
      </c>
      <c r="AJ142" s="78">
        <f t="shared" ref="AJ142:AP142" si="391">AJ141</f>
        <v>0.26750000000000002</v>
      </c>
      <c r="AK142" s="79">
        <f t="shared" si="391"/>
        <v>9.9166666666666661</v>
      </c>
      <c r="AL142" s="80">
        <f t="shared" si="391"/>
        <v>187</v>
      </c>
      <c r="AM142" s="78">
        <f t="shared" si="391"/>
        <v>9.737942583732058E-2</v>
      </c>
      <c r="AN142" s="80">
        <f t="shared" si="391"/>
        <v>143</v>
      </c>
      <c r="AO142" s="78">
        <f t="shared" si="391"/>
        <v>0.21099999999999999</v>
      </c>
      <c r="AP142" s="88">
        <f t="shared" si="391"/>
        <v>12</v>
      </c>
      <c r="AQ142" s="64">
        <f t="shared" si="364"/>
        <v>21.5</v>
      </c>
      <c r="AR142" s="64">
        <f t="shared" si="365"/>
        <v>11.5</v>
      </c>
      <c r="AS142" s="88">
        <f t="shared" si="366"/>
        <v>1.1830000000000001</v>
      </c>
      <c r="AT142" s="91">
        <f t="shared" si="249"/>
        <v>283</v>
      </c>
      <c r="AU142" s="94"/>
      <c r="AV142" s="95"/>
      <c r="AW142" s="56">
        <f t="shared" si="342"/>
        <v>0</v>
      </c>
      <c r="AX142" s="351"/>
      <c r="AY142" s="100">
        <f t="shared" si="371"/>
        <v>9.9166666666666661</v>
      </c>
      <c r="AZ142" s="360"/>
      <c r="BA142" s="91">
        <f t="shared" si="372"/>
        <v>-1323.5292136666674</v>
      </c>
      <c r="BB142" s="5">
        <f t="shared" si="306"/>
        <v>-9.9166666666666661</v>
      </c>
      <c r="BC142" s="363"/>
      <c r="BD142" s="91" t="e">
        <f t="shared" ca="1" si="343"/>
        <v>#N/A</v>
      </c>
      <c r="BE142" s="91" t="e">
        <f t="shared" ca="1" si="344"/>
        <v>#N/A</v>
      </c>
      <c r="BF142" s="91">
        <f t="shared" si="345"/>
        <v>31.833333333333329</v>
      </c>
      <c r="BG142" s="91" t="e">
        <f t="shared" ca="1" si="346"/>
        <v>#N/A</v>
      </c>
      <c r="BH142" s="91" t="e">
        <f t="shared" ref="BH142:BH205" ca="1" si="392">BF142-BE142</f>
        <v>#N/A</v>
      </c>
      <c r="BI142" s="10" t="e">
        <f t="shared" ca="1" si="360"/>
        <v>#N/A</v>
      </c>
      <c r="BJ142" s="104">
        <f>((M142+Q142)*AJ142+AK142)+((U142-W142+W142/('Vergleich Holz Strom'!$B$8-0.6))*AO142+AP142)</f>
        <v>21.916666666666664</v>
      </c>
      <c r="BK142" s="10" t="e">
        <f t="shared" ca="1" si="307"/>
        <v>#N/A</v>
      </c>
      <c r="BL142" s="379"/>
      <c r="BM142" s="104" t="e">
        <f t="shared" ca="1" si="356"/>
        <v>#N/A</v>
      </c>
      <c r="BN142" s="40" t="e">
        <f ca="1">IF(ISNUMBER(BK142),BN141+SUMIF(BK134:BK145,"&lt;&gt;#NV",BK134:BK145)/COUNTIF(BK134:BK145,"&lt;&gt;#NV"),#N/A)</f>
        <v>#N/A</v>
      </c>
      <c r="BO142" s="10" t="e">
        <f t="shared" ca="1" si="361"/>
        <v>#N/A</v>
      </c>
      <c r="BP142" s="104" t="e">
        <f t="shared" ca="1" si="308"/>
        <v>#N/A</v>
      </c>
      <c r="BQ142" s="104">
        <f t="shared" ca="1" si="319"/>
        <v>-60538.123123131467</v>
      </c>
      <c r="BR142" s="10">
        <f t="shared" si="347"/>
        <v>9.9166666666666661</v>
      </c>
      <c r="BS142" s="311"/>
      <c r="BT142" s="307"/>
      <c r="BU142" s="295">
        <f t="shared" si="348"/>
        <v>0</v>
      </c>
      <c r="BV142" s="323"/>
      <c r="BW142" s="299">
        <f t="shared" si="349"/>
        <v>0</v>
      </c>
      <c r="BX142" s="295">
        <f t="shared" si="350"/>
        <v>0</v>
      </c>
      <c r="BY142" s="382"/>
      <c r="BZ142" s="299">
        <f t="shared" si="357"/>
        <v>0</v>
      </c>
      <c r="CA142" s="295">
        <f t="shared" si="362"/>
        <v>0</v>
      </c>
      <c r="CB142" s="323"/>
      <c r="CC142" s="314">
        <f t="shared" si="382"/>
        <v>0</v>
      </c>
      <c r="CD142" s="326"/>
      <c r="CE142" s="299">
        <f t="shared" si="351"/>
        <v>0</v>
      </c>
      <c r="CF142" s="284">
        <f t="shared" si="383"/>
        <v>0</v>
      </c>
      <c r="CG142" s="323"/>
      <c r="CH142" s="302">
        <f t="shared" si="389"/>
        <v>0</v>
      </c>
      <c r="CI142" s="108">
        <f t="shared" si="352"/>
        <v>0</v>
      </c>
      <c r="CJ142" s="200">
        <f t="shared" si="353"/>
        <v>0</v>
      </c>
      <c r="CK142" s="197">
        <f t="shared" si="369"/>
        <v>0</v>
      </c>
      <c r="CL142" s="203">
        <f t="shared" si="354"/>
        <v>12</v>
      </c>
      <c r="CM142" s="4">
        <f>U142*Jahresdaten!$AD$2</f>
        <v>0</v>
      </c>
      <c r="CN142" s="112">
        <f>CJ142*Jahresdaten!$AD$2</f>
        <v>0</v>
      </c>
      <c r="CO142" s="366"/>
      <c r="CP142" s="116">
        <f>U142*Jahresdaten!$AD$3</f>
        <v>0</v>
      </c>
      <c r="CQ142" s="12">
        <f>CJ142*Jahresdaten!$AD$3</f>
        <v>0</v>
      </c>
      <c r="CR142" s="353"/>
      <c r="CS142" s="14"/>
      <c r="CT142" s="136"/>
      <c r="CU142" s="140" t="str">
        <f>IF(CT142=0,"",CT142*'Vergleich Holz Strom'!$B$2)</f>
        <v/>
      </c>
      <c r="CV142" s="353"/>
      <c r="CW142" s="366"/>
      <c r="CX142" s="345"/>
      <c r="CY142" s="345"/>
      <c r="CZ142" s="345"/>
      <c r="DA142" s="348"/>
      <c r="DB142" s="94"/>
      <c r="DC142" s="88">
        <f t="shared" si="281"/>
        <v>22861.26133333331</v>
      </c>
      <c r="DD142" s="94"/>
      <c r="DE142" s="88">
        <f t="shared" si="284"/>
        <v>-17556.112547000001</v>
      </c>
      <c r="DF142" s="100" t="e">
        <f ca="1">BE142+(SUM(CS134:CS145)/12)</f>
        <v>#N/A</v>
      </c>
      <c r="DG142" s="351"/>
      <c r="DH142" s="8">
        <f t="shared" si="373"/>
        <v>0</v>
      </c>
      <c r="DI142" s="123">
        <f t="shared" si="309"/>
        <v>17200</v>
      </c>
      <c r="DJ142" s="2">
        <f t="shared" si="374"/>
        <v>0</v>
      </c>
      <c r="DK142" s="127">
        <f>DK145/12*9</f>
        <v>5850</v>
      </c>
      <c r="DL142" s="2">
        <f t="shared" si="375"/>
        <v>650</v>
      </c>
      <c r="DM142" s="130">
        <f t="shared" si="376"/>
        <v>0</v>
      </c>
      <c r="DN142" s="3">
        <f>DN145/12*9</f>
        <v>2250</v>
      </c>
      <c r="DO142" s="130">
        <f t="shared" si="377"/>
        <v>250</v>
      </c>
      <c r="DP142" s="4">
        <f t="shared" si="378"/>
        <v>0</v>
      </c>
      <c r="DQ142" s="116">
        <f t="shared" si="379"/>
        <v>9100</v>
      </c>
      <c r="DR142" s="116">
        <f t="shared" si="384"/>
        <v>300</v>
      </c>
    </row>
    <row r="143" spans="1:122" ht="14.25" customHeight="1" thickBot="1" x14ac:dyDescent="0.2">
      <c r="A143" s="416"/>
      <c r="B143" s="16">
        <v>47665</v>
      </c>
      <c r="C143" s="207">
        <f>'PV-Felder'!$I$8</f>
        <v>3593.8</v>
      </c>
      <c r="D143" s="351"/>
      <c r="E143" s="61">
        <v>0</v>
      </c>
      <c r="F143" s="351"/>
      <c r="G143" s="56" t="e">
        <f t="shared" ca="1" si="339"/>
        <v>#N/A</v>
      </c>
      <c r="H143" s="351"/>
      <c r="I143" s="61">
        <v>0</v>
      </c>
      <c r="J143" s="351"/>
      <c r="K143" s="61">
        <v>0</v>
      </c>
      <c r="L143" s="351"/>
      <c r="M143" s="65">
        <f t="shared" si="358"/>
        <v>0</v>
      </c>
      <c r="N143" s="373"/>
      <c r="O143" s="288"/>
      <c r="P143" s="288"/>
      <c r="Q143" s="286">
        <f t="shared" si="340"/>
        <v>0</v>
      </c>
      <c r="R143" s="334"/>
      <c r="S143" s="61">
        <v>0</v>
      </c>
      <c r="T143" s="376"/>
      <c r="U143" s="61">
        <v>0</v>
      </c>
      <c r="V143" s="342"/>
      <c r="W143" s="61">
        <v>0</v>
      </c>
      <c r="X143" s="342"/>
      <c r="Y143" s="211" t="e">
        <f t="shared" si="272"/>
        <v>#N/A</v>
      </c>
      <c r="Z143" s="370"/>
      <c r="AA143" s="61">
        <v>0</v>
      </c>
      <c r="AB143" s="351"/>
      <c r="AC143" s="61">
        <v>0</v>
      </c>
      <c r="AD143" s="351"/>
      <c r="AE143" s="73" t="e">
        <f t="shared" si="303"/>
        <v>#N/A</v>
      </c>
      <c r="AF143" s="356"/>
      <c r="AG143" s="73" t="e">
        <f t="shared" si="304"/>
        <v>#N/A</v>
      </c>
      <c r="AH143" s="356"/>
      <c r="AI143" s="221">
        <f t="shared" si="380"/>
        <v>29.26</v>
      </c>
      <c r="AJ143" s="78">
        <f t="shared" ref="AJ143:AP143" si="393">AJ142</f>
        <v>0.26750000000000002</v>
      </c>
      <c r="AK143" s="79">
        <f t="shared" si="393"/>
        <v>9.9166666666666661</v>
      </c>
      <c r="AL143" s="80">
        <f t="shared" si="393"/>
        <v>187</v>
      </c>
      <c r="AM143" s="78">
        <f t="shared" si="393"/>
        <v>9.737942583732058E-2</v>
      </c>
      <c r="AN143" s="80">
        <f t="shared" si="393"/>
        <v>143</v>
      </c>
      <c r="AO143" s="78">
        <f t="shared" si="393"/>
        <v>0.21099999999999999</v>
      </c>
      <c r="AP143" s="88">
        <f t="shared" si="393"/>
        <v>12</v>
      </c>
      <c r="AQ143" s="64">
        <f t="shared" si="364"/>
        <v>21.5</v>
      </c>
      <c r="AR143" s="64">
        <f t="shared" si="365"/>
        <v>11.5</v>
      </c>
      <c r="AS143" s="88">
        <f t="shared" si="366"/>
        <v>1.1830000000000001</v>
      </c>
      <c r="AT143" s="91">
        <f t="shared" si="249"/>
        <v>283</v>
      </c>
      <c r="AU143" s="94"/>
      <c r="AV143" s="95"/>
      <c r="AW143" s="56">
        <f t="shared" si="342"/>
        <v>0</v>
      </c>
      <c r="AX143" s="351"/>
      <c r="AY143" s="100">
        <f t="shared" si="371"/>
        <v>9.9166666666666661</v>
      </c>
      <c r="AZ143" s="360"/>
      <c r="BA143" s="91">
        <f t="shared" si="372"/>
        <v>-1333.4458803333341</v>
      </c>
      <c r="BB143" s="5">
        <f t="shared" si="306"/>
        <v>-9.9166666666666661</v>
      </c>
      <c r="BC143" s="363"/>
      <c r="BD143" s="91" t="e">
        <f t="shared" ca="1" si="343"/>
        <v>#N/A</v>
      </c>
      <c r="BE143" s="91" t="e">
        <f t="shared" ca="1" si="344"/>
        <v>#N/A</v>
      </c>
      <c r="BF143" s="91">
        <f t="shared" si="345"/>
        <v>31.833333333333329</v>
      </c>
      <c r="BG143" s="91" t="e">
        <f t="shared" ca="1" si="346"/>
        <v>#N/A</v>
      </c>
      <c r="BH143" s="91" t="e">
        <f t="shared" ca="1" si="392"/>
        <v>#N/A</v>
      </c>
      <c r="BI143" s="10" t="e">
        <f t="shared" ca="1" si="360"/>
        <v>#N/A</v>
      </c>
      <c r="BJ143" s="104">
        <f>((M143+Q143)*AJ143+AK143)+((U143-W143+W143/('Vergleich Holz Strom'!$B$8-0.6))*AO143+AP143)</f>
        <v>21.916666666666664</v>
      </c>
      <c r="BK143" s="10" t="e">
        <f t="shared" ca="1" si="307"/>
        <v>#N/A</v>
      </c>
      <c r="BL143" s="379"/>
      <c r="BM143" s="104" t="e">
        <f t="shared" ca="1" si="356"/>
        <v>#N/A</v>
      </c>
      <c r="BN143" s="40" t="e">
        <f ca="1">IF(ISNUMBER(BK143),BN142+SUMIF(BK134:BK145,"&lt;&gt;#NV",BK134:BK145)/COUNTIF(BK134:BK145,"&lt;&gt;#NV"),#N/A)</f>
        <v>#N/A</v>
      </c>
      <c r="BO143" s="10" t="e">
        <f ca="1">BK143+AT143+AU143</f>
        <v>#N/A</v>
      </c>
      <c r="BP143" s="104" t="e">
        <f t="shared" ca="1" si="308"/>
        <v>#N/A</v>
      </c>
      <c r="BQ143" s="104">
        <f t="shared" ca="1" si="319"/>
        <v>-60521.904193090319</v>
      </c>
      <c r="BR143" s="10">
        <f t="shared" si="347"/>
        <v>9.9166666666666661</v>
      </c>
      <c r="BS143" s="311"/>
      <c r="BT143" s="307"/>
      <c r="BU143" s="295">
        <f t="shared" si="348"/>
        <v>0</v>
      </c>
      <c r="BV143" s="323"/>
      <c r="BW143" s="299">
        <f t="shared" si="349"/>
        <v>0</v>
      </c>
      <c r="BX143" s="295">
        <f t="shared" si="350"/>
        <v>0</v>
      </c>
      <c r="BY143" s="382"/>
      <c r="BZ143" s="299">
        <f t="shared" si="357"/>
        <v>0</v>
      </c>
      <c r="CA143" s="295">
        <f t="shared" si="362"/>
        <v>0</v>
      </c>
      <c r="CB143" s="323"/>
      <c r="CC143" s="314">
        <f t="shared" si="382"/>
        <v>0</v>
      </c>
      <c r="CD143" s="326"/>
      <c r="CE143" s="299">
        <f t="shared" si="351"/>
        <v>0</v>
      </c>
      <c r="CF143" s="284">
        <f t="shared" si="383"/>
        <v>0</v>
      </c>
      <c r="CG143" s="323"/>
      <c r="CH143" s="302">
        <f t="shared" si="389"/>
        <v>0</v>
      </c>
      <c r="CI143" s="108">
        <f t="shared" si="352"/>
        <v>0</v>
      </c>
      <c r="CJ143" s="200">
        <f t="shared" si="353"/>
        <v>0</v>
      </c>
      <c r="CK143" s="197">
        <f t="shared" si="369"/>
        <v>0</v>
      </c>
      <c r="CL143" s="203">
        <f t="shared" si="354"/>
        <v>12</v>
      </c>
      <c r="CM143" s="4">
        <f>U143*Jahresdaten!$AD$2</f>
        <v>0</v>
      </c>
      <c r="CN143" s="112">
        <f>CJ143*Jahresdaten!$AD$2</f>
        <v>0</v>
      </c>
      <c r="CO143" s="366"/>
      <c r="CP143" s="116">
        <f>U143*Jahresdaten!$AD$3</f>
        <v>0</v>
      </c>
      <c r="CQ143" s="12">
        <f>CJ143*Jahresdaten!$AD$3</f>
        <v>0</v>
      </c>
      <c r="CR143" s="353"/>
      <c r="CS143" s="14"/>
      <c r="CT143" s="136"/>
      <c r="CU143" s="140" t="str">
        <f>IF(CT143=0,"",CT143*'Vergleich Holz Strom'!$B$2)</f>
        <v/>
      </c>
      <c r="CV143" s="353"/>
      <c r="CW143" s="366"/>
      <c r="CX143" s="345"/>
      <c r="CY143" s="345"/>
      <c r="CZ143" s="345"/>
      <c r="DA143" s="348"/>
      <c r="DB143" s="94"/>
      <c r="DC143" s="88">
        <f t="shared" si="281"/>
        <v>23038.344666666642</v>
      </c>
      <c r="DD143" s="94"/>
      <c r="DE143" s="88">
        <f t="shared" si="284"/>
        <v>-17699.112547000001</v>
      </c>
      <c r="DF143" s="100" t="e">
        <f ca="1">BE143+(SUM(CS134:CS145)/12)</f>
        <v>#N/A</v>
      </c>
      <c r="DG143" s="351"/>
      <c r="DH143" s="8">
        <f t="shared" si="373"/>
        <v>0</v>
      </c>
      <c r="DI143" s="123">
        <f t="shared" si="309"/>
        <v>18250</v>
      </c>
      <c r="DJ143" s="2">
        <f t="shared" si="374"/>
        <v>0</v>
      </c>
      <c r="DK143" s="127">
        <f>DK145/12*10</f>
        <v>6500</v>
      </c>
      <c r="DL143" s="2">
        <f t="shared" si="375"/>
        <v>650</v>
      </c>
      <c r="DM143" s="130">
        <f t="shared" si="376"/>
        <v>0</v>
      </c>
      <c r="DN143" s="3">
        <f>DN145/12*10</f>
        <v>2500</v>
      </c>
      <c r="DO143" s="130">
        <f t="shared" si="377"/>
        <v>250</v>
      </c>
      <c r="DP143" s="4">
        <f t="shared" si="378"/>
        <v>0</v>
      </c>
      <c r="DQ143" s="116">
        <f t="shared" si="379"/>
        <v>9250</v>
      </c>
      <c r="DR143" s="116">
        <f t="shared" si="384"/>
        <v>150</v>
      </c>
    </row>
    <row r="144" spans="1:122" ht="14.25" customHeight="1" thickBot="1" x14ac:dyDescent="0.2">
      <c r="A144" s="416"/>
      <c r="B144" s="16">
        <v>47696</v>
      </c>
      <c r="C144" s="207">
        <f>'PV-Felder'!$I$9</f>
        <v>3065.7</v>
      </c>
      <c r="D144" s="351"/>
      <c r="E144" s="61">
        <v>0</v>
      </c>
      <c r="F144" s="351"/>
      <c r="G144" s="56" t="e">
        <f t="shared" ca="1" si="339"/>
        <v>#N/A</v>
      </c>
      <c r="H144" s="351"/>
      <c r="I144" s="61">
        <v>0</v>
      </c>
      <c r="J144" s="351"/>
      <c r="K144" s="61">
        <v>0</v>
      </c>
      <c r="L144" s="351"/>
      <c r="M144" s="65">
        <f t="shared" si="358"/>
        <v>0</v>
      </c>
      <c r="N144" s="373"/>
      <c r="O144" s="288"/>
      <c r="P144" s="288"/>
      <c r="Q144" s="286">
        <f t="shared" si="340"/>
        <v>0</v>
      </c>
      <c r="R144" s="334"/>
      <c r="S144" s="61">
        <v>0</v>
      </c>
      <c r="T144" s="376"/>
      <c r="U144" s="61">
        <v>0</v>
      </c>
      <c r="V144" s="342"/>
      <c r="W144" s="61">
        <v>0</v>
      </c>
      <c r="X144" s="342"/>
      <c r="Y144" s="211" t="e">
        <f t="shared" si="272"/>
        <v>#N/A</v>
      </c>
      <c r="Z144" s="370"/>
      <c r="AA144" s="61">
        <v>0</v>
      </c>
      <c r="AB144" s="351"/>
      <c r="AC144" s="61">
        <v>0</v>
      </c>
      <c r="AD144" s="351"/>
      <c r="AE144" s="73" t="e">
        <f t="shared" si="303"/>
        <v>#N/A</v>
      </c>
      <c r="AF144" s="356"/>
      <c r="AG144" s="73" t="e">
        <f t="shared" si="304"/>
        <v>#N/A</v>
      </c>
      <c r="AH144" s="356"/>
      <c r="AI144" s="221">
        <f t="shared" si="380"/>
        <v>29.26</v>
      </c>
      <c r="AJ144" s="78">
        <f t="shared" ref="AJ144:AP144" si="394">AJ143</f>
        <v>0.26750000000000002</v>
      </c>
      <c r="AK144" s="79">
        <f t="shared" si="394"/>
        <v>9.9166666666666661</v>
      </c>
      <c r="AL144" s="80">
        <f t="shared" si="394"/>
        <v>187</v>
      </c>
      <c r="AM144" s="78">
        <f t="shared" si="394"/>
        <v>9.737942583732058E-2</v>
      </c>
      <c r="AN144" s="80">
        <f t="shared" si="394"/>
        <v>143</v>
      </c>
      <c r="AO144" s="78">
        <f t="shared" si="394"/>
        <v>0.21099999999999999</v>
      </c>
      <c r="AP144" s="88">
        <f t="shared" si="394"/>
        <v>12</v>
      </c>
      <c r="AQ144" s="64">
        <f t="shared" si="364"/>
        <v>21.5</v>
      </c>
      <c r="AR144" s="64">
        <f t="shared" si="365"/>
        <v>11.5</v>
      </c>
      <c r="AS144" s="88">
        <f t="shared" si="366"/>
        <v>1.1830000000000001</v>
      </c>
      <c r="AT144" s="91">
        <f t="shared" si="249"/>
        <v>283</v>
      </c>
      <c r="AU144" s="94"/>
      <c r="AV144" s="95"/>
      <c r="AW144" s="56">
        <f t="shared" si="342"/>
        <v>0</v>
      </c>
      <c r="AX144" s="351"/>
      <c r="AY144" s="100">
        <f t="shared" si="371"/>
        <v>9.9166666666666661</v>
      </c>
      <c r="AZ144" s="360"/>
      <c r="BA144" s="91">
        <f t="shared" si="372"/>
        <v>-1343.3625470000009</v>
      </c>
      <c r="BB144" s="5">
        <f t="shared" si="306"/>
        <v>-9.9166666666666661</v>
      </c>
      <c r="BC144" s="363"/>
      <c r="BD144" s="91" t="e">
        <f t="shared" ca="1" si="343"/>
        <v>#N/A</v>
      </c>
      <c r="BE144" s="91" t="e">
        <f t="shared" ca="1" si="344"/>
        <v>#N/A</v>
      </c>
      <c r="BF144" s="91">
        <f t="shared" si="345"/>
        <v>31.833333333333329</v>
      </c>
      <c r="BG144" s="91" t="e">
        <f t="shared" ca="1" si="346"/>
        <v>#N/A</v>
      </c>
      <c r="BH144" s="91" t="e">
        <f t="shared" ca="1" si="392"/>
        <v>#N/A</v>
      </c>
      <c r="BI144" s="10" t="e">
        <f t="shared" ca="1" si="360"/>
        <v>#N/A</v>
      </c>
      <c r="BJ144" s="104">
        <f>((M144+Q144)*AJ144+AK144)+((U144-W144+W144/('Vergleich Holz Strom'!$B$8-0.6))*AO144+AP144)</f>
        <v>21.916666666666664</v>
      </c>
      <c r="BK144" s="10" t="e">
        <f t="shared" ca="1" si="307"/>
        <v>#N/A</v>
      </c>
      <c r="BL144" s="379"/>
      <c r="BM144" s="104" t="e">
        <f t="shared" ca="1" si="356"/>
        <v>#N/A</v>
      </c>
      <c r="BN144" s="40" t="e">
        <f ca="1">IF(ISNUMBER(BK144),BN143+SUMIF(BK134:BK145,"&lt;&gt;#NV",BK134:BK145)/COUNTIF(BK134:BK145,"&lt;&gt;#NV"),#N/A)</f>
        <v>#N/A</v>
      </c>
      <c r="BO144" s="10" t="e">
        <f t="shared" ref="BO144:BO154" ca="1" si="395">BK144+AT144+AU144</f>
        <v>#N/A</v>
      </c>
      <c r="BP144" s="104" t="e">
        <f t="shared" ca="1" si="308"/>
        <v>#N/A</v>
      </c>
      <c r="BQ144" s="104">
        <f t="shared" ca="1" si="319"/>
        <v>-60505.68526304917</v>
      </c>
      <c r="BR144" s="10">
        <f t="shared" si="347"/>
        <v>9.9166666666666661</v>
      </c>
      <c r="BS144" s="311"/>
      <c r="BT144" s="307"/>
      <c r="BU144" s="295">
        <f t="shared" si="348"/>
        <v>0</v>
      </c>
      <c r="BV144" s="323"/>
      <c r="BW144" s="299">
        <f t="shared" si="349"/>
        <v>0</v>
      </c>
      <c r="BX144" s="295">
        <f t="shared" si="350"/>
        <v>0</v>
      </c>
      <c r="BY144" s="382"/>
      <c r="BZ144" s="299">
        <f t="shared" si="357"/>
        <v>0</v>
      </c>
      <c r="CA144" s="295">
        <f t="shared" si="362"/>
        <v>0</v>
      </c>
      <c r="CB144" s="323"/>
      <c r="CC144" s="314">
        <f t="shared" si="382"/>
        <v>0</v>
      </c>
      <c r="CD144" s="326"/>
      <c r="CE144" s="299">
        <f t="shared" si="351"/>
        <v>0</v>
      </c>
      <c r="CF144" s="284">
        <f t="shared" si="383"/>
        <v>0</v>
      </c>
      <c r="CG144" s="323"/>
      <c r="CH144" s="302">
        <f t="shared" si="389"/>
        <v>0</v>
      </c>
      <c r="CI144" s="108">
        <f t="shared" si="352"/>
        <v>0</v>
      </c>
      <c r="CJ144" s="200">
        <f t="shared" si="353"/>
        <v>0</v>
      </c>
      <c r="CK144" s="197">
        <f t="shared" si="369"/>
        <v>0</v>
      </c>
      <c r="CL144" s="203">
        <f t="shared" si="354"/>
        <v>12</v>
      </c>
      <c r="CM144" s="4">
        <f>U144*Jahresdaten!$AD$2</f>
        <v>0</v>
      </c>
      <c r="CN144" s="112">
        <f>CJ144*Jahresdaten!$AD$2</f>
        <v>0</v>
      </c>
      <c r="CO144" s="366"/>
      <c r="CP144" s="116">
        <f>U144*Jahresdaten!$AD$3</f>
        <v>0</v>
      </c>
      <c r="CQ144" s="12">
        <f>CJ144*Jahresdaten!$AD$3</f>
        <v>0</v>
      </c>
      <c r="CR144" s="353"/>
      <c r="CS144" s="14"/>
      <c r="CT144" s="136"/>
      <c r="CU144" s="140" t="str">
        <f>IF(CT144=0,"",CT144*'Vergleich Holz Strom'!$B$2)</f>
        <v/>
      </c>
      <c r="CV144" s="353"/>
      <c r="CW144" s="366"/>
      <c r="CX144" s="345"/>
      <c r="CY144" s="345"/>
      <c r="CZ144" s="345"/>
      <c r="DA144" s="348"/>
      <c r="DB144" s="94"/>
      <c r="DC144" s="88">
        <f t="shared" si="281"/>
        <v>23215.427999999974</v>
      </c>
      <c r="DD144" s="94"/>
      <c r="DE144" s="88">
        <f t="shared" si="284"/>
        <v>-17842.112547000001</v>
      </c>
      <c r="DF144" s="100" t="e">
        <f ca="1">BE144+(SUM(CS134:CS145)/12)</f>
        <v>#N/A</v>
      </c>
      <c r="DG144" s="351"/>
      <c r="DH144" s="8">
        <f t="shared" si="373"/>
        <v>0</v>
      </c>
      <c r="DI144" s="123">
        <f t="shared" si="309"/>
        <v>19300</v>
      </c>
      <c r="DJ144" s="2">
        <f t="shared" si="374"/>
        <v>0</v>
      </c>
      <c r="DK144" s="127">
        <f>DK145/12*11</f>
        <v>7150</v>
      </c>
      <c r="DL144" s="2">
        <f t="shared" si="375"/>
        <v>650</v>
      </c>
      <c r="DM144" s="130">
        <f t="shared" si="376"/>
        <v>0</v>
      </c>
      <c r="DN144" s="3">
        <f>DN145/12*11</f>
        <v>2750</v>
      </c>
      <c r="DO144" s="130">
        <f t="shared" si="377"/>
        <v>250</v>
      </c>
      <c r="DP144" s="4">
        <f t="shared" si="378"/>
        <v>0</v>
      </c>
      <c r="DQ144" s="116">
        <f t="shared" si="379"/>
        <v>9400</v>
      </c>
      <c r="DR144" s="116">
        <f t="shared" si="384"/>
        <v>150</v>
      </c>
    </row>
    <row r="145" spans="1:122" s="28" customFormat="1" ht="15" customHeight="1" thickBot="1" x14ac:dyDescent="0.2">
      <c r="A145" s="417"/>
      <c r="B145" s="18">
        <v>47727</v>
      </c>
      <c r="C145" s="208">
        <f>'PV-Felder'!$I$10</f>
        <v>2246.7000000000003</v>
      </c>
      <c r="D145" s="352"/>
      <c r="E145" s="63">
        <v>0</v>
      </c>
      <c r="F145" s="352"/>
      <c r="G145" s="57" t="e">
        <f t="shared" ca="1" si="339"/>
        <v>#N/A</v>
      </c>
      <c r="H145" s="352"/>
      <c r="I145" s="63">
        <v>0</v>
      </c>
      <c r="J145" s="352"/>
      <c r="K145" s="63">
        <v>0</v>
      </c>
      <c r="L145" s="352"/>
      <c r="M145" s="67">
        <f t="shared" si="358"/>
        <v>0</v>
      </c>
      <c r="N145" s="374"/>
      <c r="O145" s="290"/>
      <c r="P145" s="290"/>
      <c r="Q145" s="289">
        <f t="shared" si="340"/>
        <v>0</v>
      </c>
      <c r="R145" s="334"/>
      <c r="S145" s="63">
        <v>0</v>
      </c>
      <c r="T145" s="377"/>
      <c r="U145" s="63">
        <v>0</v>
      </c>
      <c r="V145" s="343"/>
      <c r="W145" s="63">
        <v>0</v>
      </c>
      <c r="X145" s="343"/>
      <c r="Y145" s="213" t="e">
        <f t="shared" si="272"/>
        <v>#N/A</v>
      </c>
      <c r="Z145" s="371"/>
      <c r="AA145" s="63">
        <v>0</v>
      </c>
      <c r="AB145" s="352"/>
      <c r="AC145" s="63">
        <v>0</v>
      </c>
      <c r="AD145" s="352"/>
      <c r="AE145" s="75" t="e">
        <f t="shared" si="303"/>
        <v>#N/A</v>
      </c>
      <c r="AF145" s="357"/>
      <c r="AG145" s="75" t="e">
        <f t="shared" si="304"/>
        <v>#N/A</v>
      </c>
      <c r="AH145" s="357"/>
      <c r="AI145" s="223">
        <f>AI144</f>
        <v>29.26</v>
      </c>
      <c r="AJ145" s="83">
        <f t="shared" ref="AJ145:AP145" si="396">AJ144</f>
        <v>0.26750000000000002</v>
      </c>
      <c r="AK145" s="21">
        <f t="shared" si="396"/>
        <v>9.9166666666666661</v>
      </c>
      <c r="AL145" s="84">
        <f t="shared" si="396"/>
        <v>187</v>
      </c>
      <c r="AM145" s="83">
        <f t="shared" si="396"/>
        <v>9.737942583732058E-2</v>
      </c>
      <c r="AN145" s="84">
        <f t="shared" si="396"/>
        <v>143</v>
      </c>
      <c r="AO145" s="83">
        <f t="shared" si="396"/>
        <v>0.21099999999999999</v>
      </c>
      <c r="AP145" s="90">
        <f t="shared" si="396"/>
        <v>12</v>
      </c>
      <c r="AQ145" s="125">
        <f t="shared" si="364"/>
        <v>21.5</v>
      </c>
      <c r="AR145" s="125">
        <f t="shared" si="365"/>
        <v>11.5</v>
      </c>
      <c r="AS145" s="92">
        <f t="shared" si="366"/>
        <v>1.1830000000000001</v>
      </c>
      <c r="AT145" s="92">
        <f t="shared" si="249"/>
        <v>283</v>
      </c>
      <c r="AU145" s="98"/>
      <c r="AV145" s="99"/>
      <c r="AW145" s="57">
        <f t="shared" si="342"/>
        <v>0</v>
      </c>
      <c r="AX145" s="352"/>
      <c r="AY145" s="102">
        <f t="shared" si="371"/>
        <v>9.9166666666666661</v>
      </c>
      <c r="AZ145" s="361"/>
      <c r="BA145" s="92">
        <f t="shared" si="372"/>
        <v>-1353.2792136666676</v>
      </c>
      <c r="BB145" s="22">
        <f t="shared" si="306"/>
        <v>-9.9166666666666661</v>
      </c>
      <c r="BC145" s="364"/>
      <c r="BD145" s="92" t="e">
        <f t="shared" ca="1" si="343"/>
        <v>#N/A</v>
      </c>
      <c r="BE145" s="92" t="e">
        <f t="shared" ca="1" si="344"/>
        <v>#N/A</v>
      </c>
      <c r="BF145" s="92">
        <f t="shared" si="345"/>
        <v>31.833333333333329</v>
      </c>
      <c r="BG145" s="92" t="e">
        <f t="shared" ca="1" si="346"/>
        <v>#N/A</v>
      </c>
      <c r="BH145" s="92" t="e">
        <f t="shared" ca="1" si="392"/>
        <v>#N/A</v>
      </c>
      <c r="BI145" s="24" t="e">
        <f t="shared" ca="1" si="360"/>
        <v>#N/A</v>
      </c>
      <c r="BJ145" s="106">
        <f>((M145+Q145)*AJ145+AK145)+((U145-W145+W145/('Vergleich Holz Strom'!$B$8-0.6))*AO145+AP145)</f>
        <v>21.916666666666664</v>
      </c>
      <c r="BK145" s="24" t="e">
        <f t="shared" ca="1" si="307"/>
        <v>#N/A</v>
      </c>
      <c r="BL145" s="380"/>
      <c r="BM145" s="106" t="e">
        <f t="shared" ca="1" si="356"/>
        <v>#N/A</v>
      </c>
      <c r="BN145" s="226" t="e">
        <f ca="1">IF(ISNUMBER(BK145),BN144+SUMIF(BK134:BK145,"&lt;&gt;#NV",BK134:BK145)/COUNTIF(BK134:BK145,"&lt;&gt;#NV"),#N/A)</f>
        <v>#N/A</v>
      </c>
      <c r="BO145" s="318" t="e">
        <f t="shared" ca="1" si="395"/>
        <v>#N/A</v>
      </c>
      <c r="BP145" s="106" t="e">
        <f t="shared" ca="1" si="308"/>
        <v>#N/A</v>
      </c>
      <c r="BQ145" s="106">
        <f t="shared" ca="1" si="319"/>
        <v>-60489.466333008022</v>
      </c>
      <c r="BR145" s="24">
        <f t="shared" si="347"/>
        <v>9.9166666666666661</v>
      </c>
      <c r="BS145" s="312"/>
      <c r="BT145" s="308"/>
      <c r="BU145" s="296">
        <f t="shared" si="348"/>
        <v>0</v>
      </c>
      <c r="BV145" s="324"/>
      <c r="BW145" s="292">
        <f t="shared" si="349"/>
        <v>0</v>
      </c>
      <c r="BX145" s="295">
        <f t="shared" si="350"/>
        <v>0</v>
      </c>
      <c r="BY145" s="382"/>
      <c r="BZ145" s="299">
        <f t="shared" si="357"/>
        <v>0</v>
      </c>
      <c r="CA145" s="296">
        <f t="shared" si="362"/>
        <v>0</v>
      </c>
      <c r="CB145" s="324"/>
      <c r="CC145" s="315">
        <f t="shared" si="382"/>
        <v>0</v>
      </c>
      <c r="CD145" s="327"/>
      <c r="CE145" s="292">
        <f t="shared" si="351"/>
        <v>0</v>
      </c>
      <c r="CF145" s="296">
        <f t="shared" si="383"/>
        <v>0</v>
      </c>
      <c r="CG145" s="324"/>
      <c r="CH145" s="303">
        <f t="shared" si="389"/>
        <v>0</v>
      </c>
      <c r="CI145" s="110">
        <f t="shared" si="352"/>
        <v>0</v>
      </c>
      <c r="CJ145" s="200">
        <f t="shared" si="353"/>
        <v>0</v>
      </c>
      <c r="CK145" s="25">
        <f t="shared" si="369"/>
        <v>0</v>
      </c>
      <c r="CL145" s="204">
        <f t="shared" si="354"/>
        <v>12</v>
      </c>
      <c r="CM145" s="26">
        <f>U145*Jahresdaten!$AD$2</f>
        <v>0</v>
      </c>
      <c r="CN145" s="114">
        <f>CJ145*Jahresdaten!$AD$2</f>
        <v>0</v>
      </c>
      <c r="CO145" s="346"/>
      <c r="CP145" s="118">
        <f>U145*Jahresdaten!$AD$3</f>
        <v>0</v>
      </c>
      <c r="CQ145" s="25">
        <f>CJ145*Jahresdaten!$AD$3</f>
        <v>0</v>
      </c>
      <c r="CR145" s="354"/>
      <c r="CS145" s="23"/>
      <c r="CT145" s="138"/>
      <c r="CU145" s="141" t="str">
        <f>IF(CT145=0,"",CT145*'Vergleich Holz Strom'!$B$2)</f>
        <v/>
      </c>
      <c r="CV145" s="354"/>
      <c r="CW145" s="346"/>
      <c r="CX145" s="346"/>
      <c r="CY145" s="346"/>
      <c r="CZ145" s="346"/>
      <c r="DA145" s="349"/>
      <c r="DB145" s="98"/>
      <c r="DC145" s="90">
        <f t="shared" si="281"/>
        <v>23392.511333333307</v>
      </c>
      <c r="DD145" s="98"/>
      <c r="DE145" s="90">
        <f t="shared" si="284"/>
        <v>-17985.112547000001</v>
      </c>
      <c r="DF145" s="102" t="e">
        <f ca="1">BE145+(SUM(CS134:CS145)/12)</f>
        <v>#N/A</v>
      </c>
      <c r="DG145" s="352"/>
      <c r="DH145" s="19">
        <f t="shared" si="373"/>
        <v>0</v>
      </c>
      <c r="DI145" s="125">
        <f t="shared" si="309"/>
        <v>20800</v>
      </c>
      <c r="DJ145" s="20">
        <f t="shared" si="374"/>
        <v>0</v>
      </c>
      <c r="DK145" s="129">
        <f>DK133</f>
        <v>7800</v>
      </c>
      <c r="DL145" s="20">
        <f t="shared" si="375"/>
        <v>650</v>
      </c>
      <c r="DM145" s="132">
        <f t="shared" si="376"/>
        <v>0</v>
      </c>
      <c r="DN145" s="27">
        <f>DN133</f>
        <v>3000</v>
      </c>
      <c r="DO145" s="132">
        <f t="shared" si="377"/>
        <v>250</v>
      </c>
      <c r="DP145" s="26">
        <f t="shared" si="378"/>
        <v>0</v>
      </c>
      <c r="DQ145" s="118">
        <f>DQ133</f>
        <v>10000</v>
      </c>
      <c r="DR145" s="118">
        <f>DR133</f>
        <v>600</v>
      </c>
    </row>
    <row r="146" spans="1:122" ht="15" customHeight="1" thickBot="1" x14ac:dyDescent="0.2">
      <c r="A146" s="415" t="s">
        <v>170</v>
      </c>
      <c r="B146" s="16">
        <v>47757</v>
      </c>
      <c r="C146" s="207">
        <f>'PV-Felder'!$I$11</f>
        <v>1416.7</v>
      </c>
      <c r="D146" s="358">
        <f t="shared" ref="D146" si="397">SUMIF(E146:E157,"&gt;0",C146:C157)</f>
        <v>0</v>
      </c>
      <c r="E146" s="61">
        <v>0</v>
      </c>
      <c r="F146" s="368">
        <f>SUM(E146:E157)</f>
        <v>0</v>
      </c>
      <c r="G146" s="58" t="e">
        <f t="shared" ca="1" si="339"/>
        <v>#N/A</v>
      </c>
      <c r="H146" s="358" t="e">
        <f ca="1">IF(TODAY()&lt;B146,#N/A,F146-D146)</f>
        <v>#N/A</v>
      </c>
      <c r="I146" s="61">
        <v>0</v>
      </c>
      <c r="J146" s="368">
        <f>SUM(I146:I157)</f>
        <v>0</v>
      </c>
      <c r="K146" s="61">
        <v>0</v>
      </c>
      <c r="L146" s="368">
        <f>SUM(K146:K157)</f>
        <v>0</v>
      </c>
      <c r="M146" s="66">
        <f t="shared" si="358"/>
        <v>0</v>
      </c>
      <c r="N146" s="372">
        <f>SUM(M146:M157)</f>
        <v>0</v>
      </c>
      <c r="Q146" s="287">
        <f t="shared" si="340"/>
        <v>0</v>
      </c>
      <c r="R146" s="333">
        <f>SUM(Q146:Q157)</f>
        <v>0</v>
      </c>
      <c r="S146" s="61">
        <v>0</v>
      </c>
      <c r="T146" s="375">
        <f>SUM(S146:S157)</f>
        <v>0</v>
      </c>
      <c r="U146" s="61">
        <v>0</v>
      </c>
      <c r="V146" s="341">
        <f>SUM(U146:U157)</f>
        <v>0</v>
      </c>
      <c r="W146" s="61">
        <v>0</v>
      </c>
      <c r="X146" s="341">
        <f>SUM(W146:W157)</f>
        <v>0</v>
      </c>
      <c r="Y146" s="211" t="e">
        <f t="shared" si="272"/>
        <v>#N/A</v>
      </c>
      <c r="Z146" s="369">
        <f>N146+T146+V146</f>
        <v>0</v>
      </c>
      <c r="AA146" s="62">
        <v>0</v>
      </c>
      <c r="AB146" s="368">
        <f>SUM(AA146:AA157)</f>
        <v>0</v>
      </c>
      <c r="AC146" s="62">
        <v>0</v>
      </c>
      <c r="AD146" s="368">
        <f>SUM(AC146:AC157)</f>
        <v>0</v>
      </c>
      <c r="AE146" s="74" t="e">
        <f t="shared" si="303"/>
        <v>#N/A</v>
      </c>
      <c r="AF146" s="355" t="e">
        <f>IF(SUMIF(AE146:AE157,"&gt;0")&gt;0,SUMIF(AE146:AE157,"&gt;0")/COUNTIF(AE146:AE157,"&gt;0"),#N/A)</f>
        <v>#N/A</v>
      </c>
      <c r="AG146" s="73" t="e">
        <f t="shared" si="304"/>
        <v>#N/A</v>
      </c>
      <c r="AH146" s="355" t="e">
        <f>IF(SUMIF(AG146:AG157,"&gt;0")&gt;0,SUMIF(AG146:AG157,"&gt;0")/COUNTIF(AG146:AG157,"&gt;0"),#N/A)</f>
        <v>#N/A</v>
      </c>
      <c r="AI146" s="222">
        <f>AI145</f>
        <v>29.26</v>
      </c>
      <c r="AJ146" s="78">
        <f t="shared" ref="AJ146:AP146" si="398">AJ145</f>
        <v>0.26750000000000002</v>
      </c>
      <c r="AK146" s="79">
        <f t="shared" si="398"/>
        <v>9.9166666666666661</v>
      </c>
      <c r="AL146" s="80">
        <f t="shared" si="398"/>
        <v>187</v>
      </c>
      <c r="AM146" s="78">
        <f t="shared" si="398"/>
        <v>9.737942583732058E-2</v>
      </c>
      <c r="AN146" s="80">
        <f t="shared" si="398"/>
        <v>143</v>
      </c>
      <c r="AO146" s="78">
        <f t="shared" si="398"/>
        <v>0.21099999999999999</v>
      </c>
      <c r="AP146" s="88">
        <f t="shared" si="398"/>
        <v>12</v>
      </c>
      <c r="AQ146" s="64">
        <f t="shared" si="364"/>
        <v>21.5</v>
      </c>
      <c r="AR146" s="64">
        <f t="shared" si="365"/>
        <v>11.5</v>
      </c>
      <c r="AS146" s="88">
        <f t="shared" si="366"/>
        <v>1.1830000000000001</v>
      </c>
      <c r="AT146" s="91">
        <f t="shared" si="249"/>
        <v>283</v>
      </c>
      <c r="AU146" s="94"/>
      <c r="AV146" s="95"/>
      <c r="AW146" s="56">
        <f t="shared" si="342"/>
        <v>0</v>
      </c>
      <c r="AX146" s="358">
        <f>SUM(AW146:AW157)</f>
        <v>0</v>
      </c>
      <c r="AY146" s="100">
        <f t="shared" si="371"/>
        <v>9.9166666666666661</v>
      </c>
      <c r="AZ146" s="359">
        <f>SUM(AY146:AY157)</f>
        <v>119.00000000000001</v>
      </c>
      <c r="BA146" s="103">
        <f>BA145-AY146</f>
        <v>-1363.1958803333343</v>
      </c>
      <c r="BB146" s="5">
        <f t="shared" si="306"/>
        <v>-9.9166666666666661</v>
      </c>
      <c r="BC146" s="362">
        <f>SUM(AY146:AY157)/12</f>
        <v>9.9166666666666679</v>
      </c>
      <c r="BD146" s="91" t="e">
        <f t="shared" ca="1" si="343"/>
        <v>#N/A</v>
      </c>
      <c r="BE146" s="91" t="e">
        <f t="shared" ca="1" si="344"/>
        <v>#N/A</v>
      </c>
      <c r="BF146" s="91">
        <f t="shared" si="345"/>
        <v>31.833333333333329</v>
      </c>
      <c r="BG146" s="91" t="e">
        <f t="shared" ca="1" si="346"/>
        <v>#N/A</v>
      </c>
      <c r="BH146" s="91" t="e">
        <f t="shared" ca="1" si="392"/>
        <v>#N/A</v>
      </c>
      <c r="BI146" s="10" t="e">
        <f t="shared" ca="1" si="360"/>
        <v>#N/A</v>
      </c>
      <c r="BJ146" s="104">
        <f>((M146+Q146)*AJ146+AK146)+((U146-W146+W146/('Vergleich Holz Strom'!$B$8-0.6))*AO146+AP146)</f>
        <v>21.916666666666664</v>
      </c>
      <c r="BK146" s="10" t="e">
        <f t="shared" ca="1" si="307"/>
        <v>#N/A</v>
      </c>
      <c r="BL146" s="378">
        <f ca="1">SUMIF(BK146:BK157,"&lt;&gt;#NV",BK146:BK157)</f>
        <v>0</v>
      </c>
      <c r="BM146" s="104" t="e">
        <f t="shared" ca="1" si="356"/>
        <v>#N/A</v>
      </c>
      <c r="BN146" s="40" t="e">
        <f ca="1">IF(ISNUMBER(BK146),BN145+SUMIF(BK146:BK157,"&lt;&gt;#NV",BK146:BK157)/COUNTIF(BK146:BK157,"&lt;&gt;#NV"),#N/A)</f>
        <v>#N/A</v>
      </c>
      <c r="BO146" s="10" t="e">
        <f t="shared" ca="1" si="395"/>
        <v>#N/A</v>
      </c>
      <c r="BP146" s="105" t="e">
        <f t="shared" ca="1" si="308"/>
        <v>#N/A</v>
      </c>
      <c r="BQ146" s="104">
        <f t="shared" ca="1" si="319"/>
        <v>-60477.466333008022</v>
      </c>
      <c r="BR146" s="10">
        <f t="shared" si="347"/>
        <v>9.9166666666666661</v>
      </c>
      <c r="BS146" s="311"/>
      <c r="BT146" s="307"/>
      <c r="BU146" s="295">
        <f t="shared" si="348"/>
        <v>0</v>
      </c>
      <c r="BV146" s="322">
        <f>SUM(BU146:BU157)</f>
        <v>0</v>
      </c>
      <c r="BW146" s="300">
        <f t="shared" si="349"/>
        <v>0</v>
      </c>
      <c r="BX146" s="305">
        <f t="shared" si="350"/>
        <v>0</v>
      </c>
      <c r="BY146" s="381">
        <f>SUM(BX146:BX157)</f>
        <v>0</v>
      </c>
      <c r="BZ146" s="300">
        <f t="shared" si="357"/>
        <v>0</v>
      </c>
      <c r="CA146" s="295">
        <f t="shared" si="362"/>
        <v>0</v>
      </c>
      <c r="CB146" s="322">
        <f>SUM(CA146:CA157)</f>
        <v>0</v>
      </c>
      <c r="CC146" s="314">
        <f t="shared" si="382"/>
        <v>0</v>
      </c>
      <c r="CD146" s="325">
        <f>SUM(CC146:CC157)</f>
        <v>0</v>
      </c>
      <c r="CE146" s="299">
        <f t="shared" si="351"/>
        <v>0</v>
      </c>
      <c r="CF146" s="284">
        <f t="shared" si="383"/>
        <v>0</v>
      </c>
      <c r="CG146" s="328">
        <f>SUM(CF146:CF157)</f>
        <v>0</v>
      </c>
      <c r="CH146" s="302">
        <f t="shared" si="389"/>
        <v>0</v>
      </c>
      <c r="CI146" s="108">
        <f t="shared" si="352"/>
        <v>0</v>
      </c>
      <c r="CJ146" s="201">
        <f t="shared" si="353"/>
        <v>0</v>
      </c>
      <c r="CK146" s="197">
        <f t="shared" si="369"/>
        <v>0</v>
      </c>
      <c r="CL146" s="203">
        <f t="shared" si="354"/>
        <v>12</v>
      </c>
      <c r="CM146" s="4">
        <f>U146*Jahresdaten!$AD$2</f>
        <v>0</v>
      </c>
      <c r="CN146" s="112">
        <f>CJ146*Jahresdaten!$AD$2</f>
        <v>0</v>
      </c>
      <c r="CO146" s="365">
        <f>CW146*Jahresdaten!$AD$2</f>
        <v>856.59076092206669</v>
      </c>
      <c r="CP146" s="116">
        <f>U146*Jahresdaten!$AD$3</f>
        <v>0</v>
      </c>
      <c r="CQ146" s="12">
        <f>CJ146*Jahresdaten!$AD$3</f>
        <v>0</v>
      </c>
      <c r="CR146" s="367">
        <f>CW146*Jahresdaten!$AD$3</f>
        <v>312.40923907793319</v>
      </c>
      <c r="CS146" s="14">
        <f>CS134</f>
        <v>1169</v>
      </c>
      <c r="CT146" s="136">
        <f>CT134</f>
        <v>12</v>
      </c>
      <c r="CU146" s="140">
        <f>IF(CT146=0,"",CT146*'Vergleich Holz Strom'!$B$2)</f>
        <v>25800</v>
      </c>
      <c r="CV146" s="120" t="s">
        <v>7</v>
      </c>
      <c r="CW146" s="365">
        <f>CV147+CV153</f>
        <v>1169</v>
      </c>
      <c r="CX146" s="344">
        <f>SUM(CS146:CS157)/SUM(CU146:CU157)*(SUM(CU146:CU157)+(V146*('Vergleich Holz Strom'!$B$8-0.6)/'Vergleich Holz Strom'!$E$6))</f>
        <v>1169</v>
      </c>
      <c r="CY146" s="344">
        <f>SUM(CU146:CU157)*'Vergleich Holz Strom'!$E$6/('Vergleich Holz Strom'!$B$8-0.6)*(SUM(AJ146:AJ157)/12)+CV147</f>
        <v>1420.8970588235295</v>
      </c>
      <c r="CZ146" s="344">
        <f>SUM(CU146:CU157)*'Vergleich Holz Strom'!$E$6/('Vergleich Holz Strom'!$B$8-0.6)*SUM(AM146:AM157)/12+SUM(CK146:CK157)</f>
        <v>517.25659724176774</v>
      </c>
      <c r="DA146" s="347">
        <f>SUM(CU146:CU157)*'Vergleich Holz Strom'!$E$6/('Vergleich Holz Strom'!$B$8-0.6)*(SUM(AO146:AO157)/12)+SUM(CL146:CL157)</f>
        <v>1264.7823529411764</v>
      </c>
      <c r="DB146" s="94"/>
      <c r="DC146" s="88">
        <f t="shared" si="281"/>
        <v>23569.594666666639</v>
      </c>
      <c r="DD146" s="94"/>
      <c r="DE146" s="88">
        <f t="shared" si="284"/>
        <v>-18128.112547000001</v>
      </c>
      <c r="DF146" s="100" t="e">
        <f ca="1">BE146+(SUM(CS146:CS157)/12)</f>
        <v>#N/A</v>
      </c>
      <c r="DG146" s="350">
        <f ca="1">SUMIF(DF146:DF157,"&gt;0")</f>
        <v>0</v>
      </c>
      <c r="DH146" s="8">
        <f>M146+S146+U146</f>
        <v>0</v>
      </c>
      <c r="DI146" s="123">
        <f t="shared" si="309"/>
        <v>1850</v>
      </c>
      <c r="DJ146" s="2">
        <f>M146</f>
        <v>0</v>
      </c>
      <c r="DK146" s="127">
        <f>DK157/12*1</f>
        <v>650</v>
      </c>
      <c r="DL146" s="2">
        <f>DL145</f>
        <v>650</v>
      </c>
      <c r="DM146" s="130">
        <f>S146</f>
        <v>0</v>
      </c>
      <c r="DN146" s="3">
        <f>DN157/12*1</f>
        <v>250</v>
      </c>
      <c r="DO146" s="130">
        <f>DO145</f>
        <v>250</v>
      </c>
      <c r="DP146" s="4">
        <f>U146</f>
        <v>0</v>
      </c>
      <c r="DQ146" s="116">
        <f>DR146</f>
        <v>950</v>
      </c>
      <c r="DR146" s="116">
        <f>DR134</f>
        <v>950</v>
      </c>
    </row>
    <row r="147" spans="1:122" ht="14.25" customHeight="1" thickBot="1" x14ac:dyDescent="0.2">
      <c r="A147" s="416"/>
      <c r="B147" s="16">
        <v>47788</v>
      </c>
      <c r="C147" s="207">
        <f>'PV-Felder'!$I$12</f>
        <v>739.6</v>
      </c>
      <c r="D147" s="351"/>
      <c r="E147" s="61">
        <v>0</v>
      </c>
      <c r="F147" s="351"/>
      <c r="G147" s="56" t="e">
        <f t="shared" ca="1" si="339"/>
        <v>#N/A</v>
      </c>
      <c r="H147" s="351"/>
      <c r="I147" s="61">
        <v>0</v>
      </c>
      <c r="J147" s="351"/>
      <c r="K147" s="61">
        <v>0</v>
      </c>
      <c r="L147" s="351"/>
      <c r="M147" s="65">
        <f t="shared" si="358"/>
        <v>0</v>
      </c>
      <c r="N147" s="373"/>
      <c r="O147" s="288"/>
      <c r="P147" s="288"/>
      <c r="Q147" s="286">
        <f t="shared" si="340"/>
        <v>0</v>
      </c>
      <c r="R147" s="334"/>
      <c r="S147" s="61">
        <v>0</v>
      </c>
      <c r="T147" s="376"/>
      <c r="U147" s="61">
        <v>0</v>
      </c>
      <c r="V147" s="342"/>
      <c r="W147" s="61">
        <v>0</v>
      </c>
      <c r="X147" s="342"/>
      <c r="Y147" s="211" t="e">
        <f t="shared" si="272"/>
        <v>#N/A</v>
      </c>
      <c r="Z147" s="370"/>
      <c r="AA147" s="61">
        <v>0</v>
      </c>
      <c r="AB147" s="351"/>
      <c r="AC147" s="61">
        <v>0</v>
      </c>
      <c r="AD147" s="351"/>
      <c r="AE147" s="73" t="e">
        <f t="shared" si="303"/>
        <v>#N/A</v>
      </c>
      <c r="AF147" s="356"/>
      <c r="AG147" s="73" t="e">
        <f t="shared" si="304"/>
        <v>#N/A</v>
      </c>
      <c r="AH147" s="356"/>
      <c r="AI147" s="221">
        <f>AI146</f>
        <v>29.26</v>
      </c>
      <c r="AJ147" s="78">
        <f t="shared" ref="AJ147:AN147" si="399">AJ146</f>
        <v>0.26750000000000002</v>
      </c>
      <c r="AK147" s="79">
        <f t="shared" si="399"/>
        <v>9.9166666666666661</v>
      </c>
      <c r="AL147" s="80">
        <f t="shared" si="399"/>
        <v>187</v>
      </c>
      <c r="AM147" s="78">
        <f t="shared" si="399"/>
        <v>9.737942583732058E-2</v>
      </c>
      <c r="AN147" s="80">
        <f t="shared" si="399"/>
        <v>143</v>
      </c>
      <c r="AO147" s="78">
        <f>AO146</f>
        <v>0.21099999999999999</v>
      </c>
      <c r="AP147" s="88">
        <f>AP146</f>
        <v>12</v>
      </c>
      <c r="AQ147" s="64">
        <f t="shared" si="364"/>
        <v>21.5</v>
      </c>
      <c r="AR147" s="64">
        <f t="shared" si="365"/>
        <v>11.5</v>
      </c>
      <c r="AS147" s="88">
        <f t="shared" si="366"/>
        <v>1.1830000000000001</v>
      </c>
      <c r="AT147" s="91">
        <f t="shared" si="249"/>
        <v>283</v>
      </c>
      <c r="AU147" s="94"/>
      <c r="AV147" s="95"/>
      <c r="AW147" s="56">
        <f t="shared" si="342"/>
        <v>0</v>
      </c>
      <c r="AX147" s="351"/>
      <c r="AY147" s="100">
        <f t="shared" si="371"/>
        <v>9.9166666666666661</v>
      </c>
      <c r="AZ147" s="360"/>
      <c r="BA147" s="91">
        <f t="shared" ref="BA147:BA157" si="400">BA146-AY147</f>
        <v>-1373.1125470000011</v>
      </c>
      <c r="BB147" s="5">
        <f t="shared" si="306"/>
        <v>-9.9166666666666661</v>
      </c>
      <c r="BC147" s="363"/>
      <c r="BD147" s="91" t="e">
        <f t="shared" ca="1" si="343"/>
        <v>#N/A</v>
      </c>
      <c r="BE147" s="91" t="e">
        <f t="shared" ca="1" si="344"/>
        <v>#N/A</v>
      </c>
      <c r="BF147" s="91">
        <f t="shared" si="345"/>
        <v>31.833333333333329</v>
      </c>
      <c r="BG147" s="91" t="e">
        <f t="shared" ca="1" si="346"/>
        <v>#N/A</v>
      </c>
      <c r="BH147" s="91" t="e">
        <f t="shared" ca="1" si="392"/>
        <v>#N/A</v>
      </c>
      <c r="BI147" s="10" t="e">
        <f t="shared" ca="1" si="360"/>
        <v>#N/A</v>
      </c>
      <c r="BJ147" s="104">
        <f>((M147+Q147)*AJ147+AK147)+((U147-W147+W147/('Vergleich Holz Strom'!$B$8-0.6))*AO147+AP147)</f>
        <v>21.916666666666664</v>
      </c>
      <c r="BK147" s="10" t="e">
        <f t="shared" ca="1" si="307"/>
        <v>#N/A</v>
      </c>
      <c r="BL147" s="379"/>
      <c r="BM147" s="104" t="e">
        <f t="shared" ca="1" si="356"/>
        <v>#N/A</v>
      </c>
      <c r="BN147" s="40" t="e">
        <f ca="1">IF(ISNUMBER(BK147),BN146+SUMIF(BK146:BK157,"&lt;&gt;#NV",BK146:BK157)/COUNTIF(BK146:BK157,"&lt;&gt;#NV"),#N/A)</f>
        <v>#N/A</v>
      </c>
      <c r="BO147" s="10" t="e">
        <f t="shared" ca="1" si="395"/>
        <v>#N/A</v>
      </c>
      <c r="BP147" s="104" t="e">
        <f t="shared" ca="1" si="308"/>
        <v>#N/A</v>
      </c>
      <c r="BQ147" s="104">
        <f t="shared" ca="1" si="319"/>
        <v>-60465.466333008022</v>
      </c>
      <c r="BR147" s="10">
        <f t="shared" si="347"/>
        <v>9.9166666666666661</v>
      </c>
      <c r="BS147" s="311"/>
      <c r="BT147" s="307"/>
      <c r="BU147" s="295">
        <f t="shared" si="348"/>
        <v>0</v>
      </c>
      <c r="BV147" s="323"/>
      <c r="BW147" s="299">
        <f t="shared" si="349"/>
        <v>0</v>
      </c>
      <c r="BX147" s="295">
        <f t="shared" si="350"/>
        <v>0</v>
      </c>
      <c r="BY147" s="382"/>
      <c r="BZ147" s="299">
        <f t="shared" si="357"/>
        <v>0</v>
      </c>
      <c r="CA147" s="295">
        <f t="shared" si="362"/>
        <v>0</v>
      </c>
      <c r="CB147" s="323"/>
      <c r="CC147" s="314">
        <f>Q147/AQ147*100+BS147/AQ147*100</f>
        <v>0</v>
      </c>
      <c r="CD147" s="326"/>
      <c r="CE147" s="299">
        <f t="shared" si="351"/>
        <v>0</v>
      </c>
      <c r="CF147" s="284">
        <f>CE147-CA147</f>
        <v>0</v>
      </c>
      <c r="CG147" s="323"/>
      <c r="CH147" s="302">
        <f t="shared" si="389"/>
        <v>0</v>
      </c>
      <c r="CI147" s="108">
        <f t="shared" si="352"/>
        <v>0</v>
      </c>
      <c r="CJ147" s="200">
        <f t="shared" si="353"/>
        <v>0</v>
      </c>
      <c r="CK147" s="197">
        <f t="shared" si="369"/>
        <v>0</v>
      </c>
      <c r="CL147" s="203">
        <f t="shared" si="354"/>
        <v>12</v>
      </c>
      <c r="CM147" s="4">
        <f>U147*Jahresdaten!$AD$2</f>
        <v>0</v>
      </c>
      <c r="CN147" s="112">
        <f>CJ147*Jahresdaten!$AD$2</f>
        <v>0</v>
      </c>
      <c r="CO147" s="366"/>
      <c r="CP147" s="116">
        <f>U147*Jahresdaten!$AD$3</f>
        <v>0</v>
      </c>
      <c r="CQ147" s="12">
        <f>CJ147*Jahresdaten!$AD$3</f>
        <v>0</v>
      </c>
      <c r="CR147" s="353"/>
      <c r="CS147" s="14"/>
      <c r="CT147" s="136"/>
      <c r="CU147" s="140" t="str">
        <f>IF(CT147=0,"",CT147*'Vergleich Holz Strom'!$B$2)</f>
        <v/>
      </c>
      <c r="CV147" s="353">
        <f>SUM(CJ146:CJ157)</f>
        <v>0</v>
      </c>
      <c r="CW147" s="366"/>
      <c r="CX147" s="345"/>
      <c r="CY147" s="345"/>
      <c r="CZ147" s="345"/>
      <c r="DA147" s="348"/>
      <c r="DB147" s="94"/>
      <c r="DC147" s="88">
        <f t="shared" si="281"/>
        <v>23746.677999999971</v>
      </c>
      <c r="DD147" s="94"/>
      <c r="DE147" s="88">
        <f t="shared" si="284"/>
        <v>-18271.112547000001</v>
      </c>
      <c r="DF147" s="100" t="e">
        <f ca="1">BE147+(SUM(CS146:CS157)/12)</f>
        <v>#N/A</v>
      </c>
      <c r="DG147" s="351"/>
      <c r="DH147" s="8">
        <f t="shared" ref="DH147:DH157" si="401">DH146+M147+S147+U147</f>
        <v>0</v>
      </c>
      <c r="DI147" s="123">
        <f t="shared" si="309"/>
        <v>3550</v>
      </c>
      <c r="DJ147" s="2">
        <f t="shared" ref="DJ147:DJ157" si="402">DJ146+M147</f>
        <v>0</v>
      </c>
      <c r="DK147" s="127">
        <f>DK157/12*2</f>
        <v>1300</v>
      </c>
      <c r="DL147" s="2">
        <f t="shared" ref="DL147:DL157" si="403">DL146</f>
        <v>650</v>
      </c>
      <c r="DM147" s="130">
        <f t="shared" ref="DM147:DM157" si="404">DM146+S147</f>
        <v>0</v>
      </c>
      <c r="DN147" s="3">
        <f>DN157/12*2</f>
        <v>500</v>
      </c>
      <c r="DO147" s="130">
        <f t="shared" ref="DO147:DO157" si="405">DO146</f>
        <v>250</v>
      </c>
      <c r="DP147" s="4">
        <f t="shared" ref="DP147:DP157" si="406">DP146+U147</f>
        <v>0</v>
      </c>
      <c r="DQ147" s="116">
        <f t="shared" ref="DQ147:DQ156" si="407">DQ146+DR147</f>
        <v>1750</v>
      </c>
      <c r="DR147" s="116">
        <f>DR135</f>
        <v>800</v>
      </c>
    </row>
    <row r="148" spans="1:122" ht="14.25" customHeight="1" thickBot="1" x14ac:dyDescent="0.2">
      <c r="A148" s="416"/>
      <c r="B148" s="16">
        <v>47818</v>
      </c>
      <c r="C148" s="207">
        <f>'PV-Felder'!$I$13</f>
        <v>559.9</v>
      </c>
      <c r="D148" s="351"/>
      <c r="E148" s="61">
        <v>0</v>
      </c>
      <c r="F148" s="351"/>
      <c r="G148" s="56" t="e">
        <f t="shared" ca="1" si="339"/>
        <v>#N/A</v>
      </c>
      <c r="H148" s="351"/>
      <c r="I148" s="61">
        <v>0</v>
      </c>
      <c r="J148" s="351"/>
      <c r="K148" s="61">
        <v>0</v>
      </c>
      <c r="L148" s="351"/>
      <c r="M148" s="65">
        <f t="shared" si="358"/>
        <v>0</v>
      </c>
      <c r="N148" s="373"/>
      <c r="O148" s="288"/>
      <c r="P148" s="288"/>
      <c r="Q148" s="286">
        <f t="shared" si="340"/>
        <v>0</v>
      </c>
      <c r="R148" s="334"/>
      <c r="S148" s="61">
        <v>0</v>
      </c>
      <c r="T148" s="376"/>
      <c r="U148" s="61">
        <v>0</v>
      </c>
      <c r="V148" s="342"/>
      <c r="W148" s="61">
        <v>0</v>
      </c>
      <c r="X148" s="342"/>
      <c r="Y148" s="211" t="e">
        <f t="shared" si="272"/>
        <v>#N/A</v>
      </c>
      <c r="Z148" s="370"/>
      <c r="AA148" s="61">
        <v>0</v>
      </c>
      <c r="AB148" s="351"/>
      <c r="AC148" s="61">
        <v>0</v>
      </c>
      <c r="AD148" s="351"/>
      <c r="AE148" s="73" t="e">
        <f t="shared" si="303"/>
        <v>#N/A</v>
      </c>
      <c r="AF148" s="356"/>
      <c r="AG148" s="73" t="e">
        <f t="shared" si="304"/>
        <v>#N/A</v>
      </c>
      <c r="AH148" s="356"/>
      <c r="AI148" s="221">
        <f t="shared" ref="AI148:AI156" si="408">AI147</f>
        <v>29.26</v>
      </c>
      <c r="AJ148" s="78">
        <f t="shared" ref="AJ148:AN148" si="409">AJ147</f>
        <v>0.26750000000000002</v>
      </c>
      <c r="AK148" s="79">
        <f t="shared" si="409"/>
        <v>9.9166666666666661</v>
      </c>
      <c r="AL148" s="80">
        <f t="shared" si="409"/>
        <v>187</v>
      </c>
      <c r="AM148" s="78">
        <f t="shared" si="409"/>
        <v>9.737942583732058E-2</v>
      </c>
      <c r="AN148" s="80">
        <f t="shared" si="409"/>
        <v>143</v>
      </c>
      <c r="AO148" s="78">
        <f>AO147</f>
        <v>0.21099999999999999</v>
      </c>
      <c r="AP148" s="88">
        <f>AP147</f>
        <v>12</v>
      </c>
      <c r="AQ148" s="64">
        <f t="shared" si="364"/>
        <v>21.5</v>
      </c>
      <c r="AR148" s="64">
        <f t="shared" si="365"/>
        <v>11.5</v>
      </c>
      <c r="AS148" s="88">
        <f t="shared" si="366"/>
        <v>1.1830000000000001</v>
      </c>
      <c r="AT148" s="91">
        <f t="shared" si="249"/>
        <v>283</v>
      </c>
      <c r="AU148" s="94"/>
      <c r="AV148" s="95"/>
      <c r="AW148" s="56">
        <f t="shared" si="342"/>
        <v>0</v>
      </c>
      <c r="AX148" s="351"/>
      <c r="AY148" s="100">
        <f t="shared" si="371"/>
        <v>9.9166666666666661</v>
      </c>
      <c r="AZ148" s="360"/>
      <c r="BA148" s="91">
        <f t="shared" si="400"/>
        <v>-1383.0292136666678</v>
      </c>
      <c r="BB148" s="5">
        <f t="shared" si="306"/>
        <v>-9.9166666666666661</v>
      </c>
      <c r="BC148" s="363"/>
      <c r="BD148" s="91" t="e">
        <f t="shared" ca="1" si="343"/>
        <v>#N/A</v>
      </c>
      <c r="BE148" s="91" t="e">
        <f t="shared" ca="1" si="344"/>
        <v>#N/A</v>
      </c>
      <c r="BF148" s="91">
        <f t="shared" si="345"/>
        <v>31.833333333333329</v>
      </c>
      <c r="BG148" s="91" t="e">
        <f t="shared" ca="1" si="346"/>
        <v>#N/A</v>
      </c>
      <c r="BH148" s="91" t="e">
        <f t="shared" ca="1" si="392"/>
        <v>#N/A</v>
      </c>
      <c r="BI148" s="10" t="e">
        <f t="shared" ca="1" si="360"/>
        <v>#N/A</v>
      </c>
      <c r="BJ148" s="104">
        <f>((M148+Q148)*AJ148+AK148)+((U148-W148+W148/('Vergleich Holz Strom'!$B$8-0.6))*AO148+AP148)</f>
        <v>21.916666666666664</v>
      </c>
      <c r="BK148" s="10" t="e">
        <f t="shared" ca="1" si="307"/>
        <v>#N/A</v>
      </c>
      <c r="BL148" s="379"/>
      <c r="BM148" s="104" t="e">
        <f t="shared" ca="1" si="356"/>
        <v>#N/A</v>
      </c>
      <c r="BN148" s="40" t="e">
        <f ca="1">IF(ISNUMBER(BK148),BN147+SUMIF(BK146:BK157,"&lt;&gt;#NV",BK146:BK157)/COUNTIF(BK146:BK157,"&lt;&gt;#NV"),#N/A)</f>
        <v>#N/A</v>
      </c>
      <c r="BO148" s="10" t="e">
        <f t="shared" ca="1" si="395"/>
        <v>#N/A</v>
      </c>
      <c r="BP148" s="104" t="e">
        <f t="shared" ca="1" si="308"/>
        <v>#N/A</v>
      </c>
      <c r="BQ148" s="104">
        <f t="shared" ca="1" si="319"/>
        <v>-60453.466333008022</v>
      </c>
      <c r="BR148" s="10">
        <f t="shared" si="347"/>
        <v>9.9166666666666661</v>
      </c>
      <c r="BS148" s="311"/>
      <c r="BT148" s="307"/>
      <c r="BU148" s="295">
        <f t="shared" si="348"/>
        <v>0</v>
      </c>
      <c r="BV148" s="323"/>
      <c r="BW148" s="299">
        <f t="shared" si="349"/>
        <v>0</v>
      </c>
      <c r="BX148" s="295">
        <f t="shared" si="350"/>
        <v>0</v>
      </c>
      <c r="BY148" s="382"/>
      <c r="BZ148" s="299">
        <f t="shared" si="357"/>
        <v>0</v>
      </c>
      <c r="CA148" s="295">
        <f t="shared" si="362"/>
        <v>0</v>
      </c>
      <c r="CB148" s="323"/>
      <c r="CC148" s="314">
        <f t="shared" ref="CC148:CC158" si="410">Q148/AQ148*100+BS148/AQ148*100</f>
        <v>0</v>
      </c>
      <c r="CD148" s="326"/>
      <c r="CE148" s="299">
        <f t="shared" si="351"/>
        <v>0</v>
      </c>
      <c r="CF148" s="284">
        <f t="shared" ref="CF148:CF158" si="411">CE148-CA148</f>
        <v>0</v>
      </c>
      <c r="CG148" s="323"/>
      <c r="CH148" s="302">
        <f t="shared" si="389"/>
        <v>0</v>
      </c>
      <c r="CI148" s="108">
        <f t="shared" si="352"/>
        <v>0</v>
      </c>
      <c r="CJ148" s="200">
        <f t="shared" si="353"/>
        <v>0</v>
      </c>
      <c r="CK148" s="197">
        <f t="shared" si="369"/>
        <v>0</v>
      </c>
      <c r="CL148" s="203">
        <f t="shared" si="354"/>
        <v>12</v>
      </c>
      <c r="CM148" s="4">
        <f>U148*Jahresdaten!$AD$2</f>
        <v>0</v>
      </c>
      <c r="CN148" s="112">
        <f>CJ148*Jahresdaten!$AD$2</f>
        <v>0</v>
      </c>
      <c r="CO148" s="366"/>
      <c r="CP148" s="116">
        <f>U148*Jahresdaten!$AD$3</f>
        <v>0</v>
      </c>
      <c r="CQ148" s="12">
        <f>CJ148*Jahresdaten!$AD$3</f>
        <v>0</v>
      </c>
      <c r="CR148" s="353"/>
      <c r="CS148" s="14"/>
      <c r="CT148" s="136"/>
      <c r="CU148" s="140" t="str">
        <f>IF(CT148=0,"",CT148*'Vergleich Holz Strom'!$B$2)</f>
        <v/>
      </c>
      <c r="CV148" s="353"/>
      <c r="CW148" s="366"/>
      <c r="CX148" s="345"/>
      <c r="CY148" s="345"/>
      <c r="CZ148" s="345"/>
      <c r="DA148" s="348"/>
      <c r="DB148" s="94"/>
      <c r="DC148" s="88">
        <f t="shared" si="281"/>
        <v>23923.761333333303</v>
      </c>
      <c r="DD148" s="94"/>
      <c r="DE148" s="88">
        <f t="shared" si="284"/>
        <v>-18414.112547000001</v>
      </c>
      <c r="DF148" s="100" t="e">
        <f ca="1">BE148+(SUM(CS146:CS157)/12)</f>
        <v>#N/A</v>
      </c>
      <c r="DG148" s="351"/>
      <c r="DH148" s="8">
        <f t="shared" si="401"/>
        <v>0</v>
      </c>
      <c r="DI148" s="123">
        <f t="shared" si="309"/>
        <v>5300</v>
      </c>
      <c r="DJ148" s="2">
        <f t="shared" si="402"/>
        <v>0</v>
      </c>
      <c r="DK148" s="127">
        <f>DK157/12*3</f>
        <v>1950</v>
      </c>
      <c r="DL148" s="2">
        <f t="shared" si="403"/>
        <v>650</v>
      </c>
      <c r="DM148" s="130">
        <f t="shared" si="404"/>
        <v>0</v>
      </c>
      <c r="DN148" s="3">
        <f>DN157/12*3</f>
        <v>750</v>
      </c>
      <c r="DO148" s="130">
        <f t="shared" si="405"/>
        <v>250</v>
      </c>
      <c r="DP148" s="4">
        <f t="shared" si="406"/>
        <v>0</v>
      </c>
      <c r="DQ148" s="116">
        <f t="shared" si="407"/>
        <v>2600</v>
      </c>
      <c r="DR148" s="116">
        <f t="shared" ref="DR148:DR156" si="412">DR136</f>
        <v>850.00000000000011</v>
      </c>
    </row>
    <row r="149" spans="1:122" ht="14.25" customHeight="1" thickBot="1" x14ac:dyDescent="0.2">
      <c r="A149" s="416"/>
      <c r="B149" s="16">
        <v>47849</v>
      </c>
      <c r="C149" s="207">
        <f>'PV-Felder'!$I$2</f>
        <v>660.80000000000007</v>
      </c>
      <c r="D149" s="351"/>
      <c r="E149" s="61">
        <v>0</v>
      </c>
      <c r="F149" s="351"/>
      <c r="G149" s="56" t="e">
        <f t="shared" ca="1" si="339"/>
        <v>#N/A</v>
      </c>
      <c r="H149" s="351"/>
      <c r="I149" s="61">
        <v>0</v>
      </c>
      <c r="J149" s="351"/>
      <c r="K149" s="61">
        <v>0</v>
      </c>
      <c r="L149" s="351"/>
      <c r="M149" s="65">
        <f t="shared" si="358"/>
        <v>0</v>
      </c>
      <c r="N149" s="373"/>
      <c r="O149" s="288"/>
      <c r="P149" s="288"/>
      <c r="Q149" s="286">
        <f t="shared" si="340"/>
        <v>0</v>
      </c>
      <c r="R149" s="334"/>
      <c r="S149" s="61">
        <v>0</v>
      </c>
      <c r="T149" s="376"/>
      <c r="U149" s="61">
        <v>0</v>
      </c>
      <c r="V149" s="342"/>
      <c r="W149" s="61">
        <v>0</v>
      </c>
      <c r="X149" s="342"/>
      <c r="Y149" s="211" t="e">
        <f t="shared" si="272"/>
        <v>#N/A</v>
      </c>
      <c r="Z149" s="370"/>
      <c r="AA149" s="61">
        <v>0</v>
      </c>
      <c r="AB149" s="351"/>
      <c r="AC149" s="61">
        <v>0</v>
      </c>
      <c r="AD149" s="351"/>
      <c r="AE149" s="73" t="e">
        <f t="shared" si="303"/>
        <v>#N/A</v>
      </c>
      <c r="AF149" s="356"/>
      <c r="AG149" s="73" t="e">
        <f t="shared" si="304"/>
        <v>#N/A</v>
      </c>
      <c r="AH149" s="356"/>
      <c r="AI149" s="221">
        <f t="shared" si="408"/>
        <v>29.26</v>
      </c>
      <c r="AJ149" s="78">
        <f t="shared" ref="AJ149:AP149" si="413">AJ148</f>
        <v>0.26750000000000002</v>
      </c>
      <c r="AK149" s="79">
        <f t="shared" si="413"/>
        <v>9.9166666666666661</v>
      </c>
      <c r="AL149" s="80">
        <f t="shared" si="413"/>
        <v>187</v>
      </c>
      <c r="AM149" s="78">
        <f t="shared" si="413"/>
        <v>9.737942583732058E-2</v>
      </c>
      <c r="AN149" s="80">
        <f t="shared" si="413"/>
        <v>143</v>
      </c>
      <c r="AO149" s="78">
        <f t="shared" si="413"/>
        <v>0.21099999999999999</v>
      </c>
      <c r="AP149" s="88">
        <f t="shared" si="413"/>
        <v>12</v>
      </c>
      <c r="AQ149" s="64">
        <f t="shared" si="364"/>
        <v>21.5</v>
      </c>
      <c r="AR149" s="64">
        <f t="shared" si="365"/>
        <v>11.5</v>
      </c>
      <c r="AS149" s="88">
        <f t="shared" si="366"/>
        <v>1.1830000000000001</v>
      </c>
      <c r="AT149" s="91">
        <f t="shared" si="249"/>
        <v>283</v>
      </c>
      <c r="AU149" s="94"/>
      <c r="AV149" s="95"/>
      <c r="AW149" s="56">
        <f t="shared" si="342"/>
        <v>0</v>
      </c>
      <c r="AX149" s="351"/>
      <c r="AY149" s="100">
        <f t="shared" si="371"/>
        <v>9.9166666666666661</v>
      </c>
      <c r="AZ149" s="360"/>
      <c r="BA149" s="91">
        <f t="shared" si="400"/>
        <v>-1392.9458803333346</v>
      </c>
      <c r="BB149" s="5">
        <f t="shared" si="306"/>
        <v>-9.9166666666666661</v>
      </c>
      <c r="BC149" s="363"/>
      <c r="BD149" s="91" t="e">
        <f t="shared" ca="1" si="343"/>
        <v>#N/A</v>
      </c>
      <c r="BE149" s="91" t="e">
        <f t="shared" ca="1" si="344"/>
        <v>#N/A</v>
      </c>
      <c r="BF149" s="91">
        <f t="shared" si="345"/>
        <v>31.833333333333329</v>
      </c>
      <c r="BG149" s="91" t="e">
        <f t="shared" ca="1" si="346"/>
        <v>#N/A</v>
      </c>
      <c r="BH149" s="91" t="e">
        <f t="shared" ca="1" si="392"/>
        <v>#N/A</v>
      </c>
      <c r="BI149" s="10" t="e">
        <f t="shared" ca="1" si="360"/>
        <v>#N/A</v>
      </c>
      <c r="BJ149" s="104">
        <f>((M149+Q149)*AJ149+AK149)+((U149-W149+W149/('Vergleich Holz Strom'!$B$8-0.6))*AO149+AP149)</f>
        <v>21.916666666666664</v>
      </c>
      <c r="BK149" s="10" t="e">
        <f t="shared" ca="1" si="307"/>
        <v>#N/A</v>
      </c>
      <c r="BL149" s="379"/>
      <c r="BM149" s="104" t="e">
        <f t="shared" ca="1" si="356"/>
        <v>#N/A</v>
      </c>
      <c r="BN149" s="40" t="e">
        <f ca="1">IF(ISNUMBER(BK149),BN148+SUMIF(BK146:BK157,"&lt;&gt;#NV",BK146:BK157)/COUNTIF(BK146:BK157,"&lt;&gt;#NV"),#N/A)</f>
        <v>#N/A</v>
      </c>
      <c r="BO149" s="10" t="e">
        <f t="shared" ca="1" si="395"/>
        <v>#N/A</v>
      </c>
      <c r="BP149" s="104" t="e">
        <f t="shared" ca="1" si="308"/>
        <v>#N/A</v>
      </c>
      <c r="BQ149" s="104">
        <f t="shared" ca="1" si="319"/>
        <v>-60441.466333008022</v>
      </c>
      <c r="BR149" s="10">
        <f t="shared" si="347"/>
        <v>9.9166666666666661</v>
      </c>
      <c r="BS149" s="311"/>
      <c r="BT149" s="307"/>
      <c r="BU149" s="295">
        <f t="shared" si="348"/>
        <v>0</v>
      </c>
      <c r="BV149" s="323"/>
      <c r="BW149" s="299">
        <f t="shared" si="349"/>
        <v>0</v>
      </c>
      <c r="BX149" s="295">
        <f t="shared" si="350"/>
        <v>0</v>
      </c>
      <c r="BY149" s="382"/>
      <c r="BZ149" s="299">
        <f t="shared" si="357"/>
        <v>0</v>
      </c>
      <c r="CA149" s="295">
        <f t="shared" si="362"/>
        <v>0</v>
      </c>
      <c r="CB149" s="323"/>
      <c r="CC149" s="314">
        <f t="shared" si="410"/>
        <v>0</v>
      </c>
      <c r="CD149" s="326"/>
      <c r="CE149" s="299">
        <f t="shared" si="351"/>
        <v>0</v>
      </c>
      <c r="CF149" s="284">
        <f t="shared" si="411"/>
        <v>0</v>
      </c>
      <c r="CG149" s="323"/>
      <c r="CH149" s="302">
        <f t="shared" si="389"/>
        <v>0</v>
      </c>
      <c r="CI149" s="108">
        <f t="shared" si="352"/>
        <v>0</v>
      </c>
      <c r="CJ149" s="200">
        <f t="shared" si="353"/>
        <v>0</v>
      </c>
      <c r="CK149" s="197">
        <f t="shared" si="369"/>
        <v>0</v>
      </c>
      <c r="CL149" s="203">
        <f t="shared" si="354"/>
        <v>12</v>
      </c>
      <c r="CM149" s="4">
        <f>U149*Jahresdaten!$AD$2</f>
        <v>0</v>
      </c>
      <c r="CN149" s="112">
        <f>CJ149*Jahresdaten!$AD$2</f>
        <v>0</v>
      </c>
      <c r="CO149" s="366"/>
      <c r="CP149" s="116">
        <f>U149*Jahresdaten!$AD$3</f>
        <v>0</v>
      </c>
      <c r="CQ149" s="12">
        <f>CJ149*Jahresdaten!$AD$3</f>
        <v>0</v>
      </c>
      <c r="CR149" s="353"/>
      <c r="CS149" s="14"/>
      <c r="CT149" s="136"/>
      <c r="CU149" s="140" t="str">
        <f>IF(CT149=0,"",CT149*'Vergleich Holz Strom'!$B$2)</f>
        <v/>
      </c>
      <c r="CV149" s="353"/>
      <c r="CW149" s="366"/>
      <c r="CX149" s="345"/>
      <c r="CY149" s="345"/>
      <c r="CZ149" s="345"/>
      <c r="DA149" s="348"/>
      <c r="DB149" s="94"/>
      <c r="DC149" s="88">
        <f t="shared" si="281"/>
        <v>24100.844666666635</v>
      </c>
      <c r="DD149" s="94"/>
      <c r="DE149" s="88">
        <f t="shared" si="284"/>
        <v>-18557.112547000001</v>
      </c>
      <c r="DF149" s="100" t="e">
        <f ca="1">BE149+(SUM(CS146:CS157)/12)</f>
        <v>#N/A</v>
      </c>
      <c r="DG149" s="351"/>
      <c r="DH149" s="8">
        <f t="shared" si="401"/>
        <v>0</v>
      </c>
      <c r="DI149" s="123">
        <f t="shared" si="309"/>
        <v>7350</v>
      </c>
      <c r="DJ149" s="2">
        <f t="shared" si="402"/>
        <v>0</v>
      </c>
      <c r="DK149" s="127">
        <f>DK157/12*4</f>
        <v>2600</v>
      </c>
      <c r="DL149" s="2">
        <f t="shared" si="403"/>
        <v>650</v>
      </c>
      <c r="DM149" s="130">
        <f t="shared" si="404"/>
        <v>0</v>
      </c>
      <c r="DN149" s="3">
        <f>DN157/12*4</f>
        <v>1000</v>
      </c>
      <c r="DO149" s="130">
        <f t="shared" si="405"/>
        <v>250</v>
      </c>
      <c r="DP149" s="4">
        <f t="shared" si="406"/>
        <v>0</v>
      </c>
      <c r="DQ149" s="116">
        <f t="shared" si="407"/>
        <v>3750</v>
      </c>
      <c r="DR149" s="116">
        <f t="shared" si="412"/>
        <v>1150</v>
      </c>
    </row>
    <row r="150" spans="1:122" ht="14.25" customHeight="1" thickBot="1" x14ac:dyDescent="0.2">
      <c r="A150" s="416"/>
      <c r="B150" s="16">
        <v>47880</v>
      </c>
      <c r="C150" s="207">
        <f>'PV-Felder'!$I$3</f>
        <v>922.2</v>
      </c>
      <c r="D150" s="351"/>
      <c r="E150" s="61">
        <v>0</v>
      </c>
      <c r="F150" s="351"/>
      <c r="G150" s="56" t="e">
        <f t="shared" ca="1" si="339"/>
        <v>#N/A</v>
      </c>
      <c r="H150" s="351"/>
      <c r="I150" s="61">
        <v>0</v>
      </c>
      <c r="J150" s="351"/>
      <c r="K150" s="61">
        <v>0</v>
      </c>
      <c r="L150" s="351"/>
      <c r="M150" s="65">
        <f t="shared" si="358"/>
        <v>0</v>
      </c>
      <c r="N150" s="373"/>
      <c r="O150" s="288"/>
      <c r="P150" s="288"/>
      <c r="Q150" s="286">
        <f t="shared" si="340"/>
        <v>0</v>
      </c>
      <c r="R150" s="334"/>
      <c r="S150" s="61">
        <v>0</v>
      </c>
      <c r="T150" s="376"/>
      <c r="U150" s="61">
        <v>0</v>
      </c>
      <c r="V150" s="342"/>
      <c r="W150" s="61">
        <v>0</v>
      </c>
      <c r="X150" s="342"/>
      <c r="Y150" s="211" t="e">
        <f t="shared" si="272"/>
        <v>#N/A</v>
      </c>
      <c r="Z150" s="370"/>
      <c r="AA150" s="61">
        <v>0</v>
      </c>
      <c r="AB150" s="351"/>
      <c r="AC150" s="61">
        <v>0</v>
      </c>
      <c r="AD150" s="351"/>
      <c r="AE150" s="73" t="e">
        <f t="shared" si="303"/>
        <v>#N/A</v>
      </c>
      <c r="AF150" s="356"/>
      <c r="AG150" s="73" t="e">
        <f t="shared" si="304"/>
        <v>#N/A</v>
      </c>
      <c r="AH150" s="356"/>
      <c r="AI150" s="221">
        <f t="shared" si="408"/>
        <v>29.26</v>
      </c>
      <c r="AJ150" s="78">
        <f t="shared" ref="AJ150:AP150" si="414">AJ149</f>
        <v>0.26750000000000002</v>
      </c>
      <c r="AK150" s="79">
        <f t="shared" si="414"/>
        <v>9.9166666666666661</v>
      </c>
      <c r="AL150" s="80">
        <f t="shared" si="414"/>
        <v>187</v>
      </c>
      <c r="AM150" s="78">
        <f t="shared" si="414"/>
        <v>9.737942583732058E-2</v>
      </c>
      <c r="AN150" s="80">
        <f t="shared" si="414"/>
        <v>143</v>
      </c>
      <c r="AO150" s="78">
        <f t="shared" si="414"/>
        <v>0.21099999999999999</v>
      </c>
      <c r="AP150" s="88">
        <f t="shared" si="414"/>
        <v>12</v>
      </c>
      <c r="AQ150" s="64">
        <f t="shared" si="364"/>
        <v>21.5</v>
      </c>
      <c r="AR150" s="64">
        <f t="shared" si="365"/>
        <v>11.5</v>
      </c>
      <c r="AS150" s="88">
        <f t="shared" si="366"/>
        <v>1.1830000000000001</v>
      </c>
      <c r="AT150" s="91">
        <f t="shared" si="249"/>
        <v>283</v>
      </c>
      <c r="AU150" s="94"/>
      <c r="AV150" s="95"/>
      <c r="AW150" s="56">
        <f t="shared" si="342"/>
        <v>0</v>
      </c>
      <c r="AX150" s="351"/>
      <c r="AY150" s="100">
        <f t="shared" si="371"/>
        <v>9.9166666666666661</v>
      </c>
      <c r="AZ150" s="360"/>
      <c r="BA150" s="91">
        <f t="shared" si="400"/>
        <v>-1402.8625470000013</v>
      </c>
      <c r="BB150" s="5">
        <f t="shared" si="306"/>
        <v>-9.9166666666666661</v>
      </c>
      <c r="BC150" s="363"/>
      <c r="BD150" s="91" t="e">
        <f t="shared" ca="1" si="343"/>
        <v>#N/A</v>
      </c>
      <c r="BE150" s="91" t="e">
        <f t="shared" ca="1" si="344"/>
        <v>#N/A</v>
      </c>
      <c r="BF150" s="91">
        <f t="shared" si="345"/>
        <v>31.833333333333329</v>
      </c>
      <c r="BG150" s="91" t="e">
        <f t="shared" ca="1" si="346"/>
        <v>#N/A</v>
      </c>
      <c r="BH150" s="91" t="e">
        <f t="shared" ca="1" si="392"/>
        <v>#N/A</v>
      </c>
      <c r="BI150" s="10" t="e">
        <f t="shared" ca="1" si="360"/>
        <v>#N/A</v>
      </c>
      <c r="BJ150" s="104">
        <f>((M150+Q150)*AJ150+AK150)+((U150-W150+W150/('Vergleich Holz Strom'!$B$8-0.6))*AO150+AP150)</f>
        <v>21.916666666666664</v>
      </c>
      <c r="BK150" s="10" t="e">
        <f t="shared" ca="1" si="307"/>
        <v>#N/A</v>
      </c>
      <c r="BL150" s="379"/>
      <c r="BM150" s="104" t="e">
        <f t="shared" ca="1" si="356"/>
        <v>#N/A</v>
      </c>
      <c r="BN150" s="40" t="e">
        <f ca="1">IF(ISNUMBER(BK150),BN149+SUMIF(BK146:BK157,"&lt;&gt;#NV",BK146:BK157)/COUNTIF(BK146:BK157,"&lt;&gt;#NV"),#N/A)</f>
        <v>#N/A</v>
      </c>
      <c r="BO150" s="10" t="e">
        <f t="shared" ca="1" si="395"/>
        <v>#N/A</v>
      </c>
      <c r="BP150" s="104" t="e">
        <f t="shared" ca="1" si="308"/>
        <v>#N/A</v>
      </c>
      <c r="BQ150" s="104">
        <f t="shared" ca="1" si="319"/>
        <v>-60422.266333008025</v>
      </c>
      <c r="BR150" s="10">
        <f t="shared" si="347"/>
        <v>9.9166666666666661</v>
      </c>
      <c r="BS150" s="311"/>
      <c r="BT150" s="307"/>
      <c r="BU150" s="295">
        <f t="shared" si="348"/>
        <v>0</v>
      </c>
      <c r="BV150" s="323"/>
      <c r="BW150" s="299">
        <f t="shared" si="349"/>
        <v>0</v>
      </c>
      <c r="BX150" s="295">
        <f t="shared" si="350"/>
        <v>0</v>
      </c>
      <c r="BY150" s="382"/>
      <c r="BZ150" s="299">
        <f t="shared" si="357"/>
        <v>0</v>
      </c>
      <c r="CA150" s="295">
        <f t="shared" si="362"/>
        <v>0</v>
      </c>
      <c r="CB150" s="323"/>
      <c r="CC150" s="314">
        <f t="shared" si="410"/>
        <v>0</v>
      </c>
      <c r="CD150" s="326"/>
      <c r="CE150" s="299">
        <f t="shared" si="351"/>
        <v>0</v>
      </c>
      <c r="CF150" s="284">
        <f t="shared" si="411"/>
        <v>0</v>
      </c>
      <c r="CG150" s="323"/>
      <c r="CH150" s="302">
        <f t="shared" si="389"/>
        <v>0</v>
      </c>
      <c r="CI150" s="108">
        <f t="shared" si="352"/>
        <v>0</v>
      </c>
      <c r="CJ150" s="200">
        <f t="shared" si="353"/>
        <v>0</v>
      </c>
      <c r="CK150" s="197">
        <f t="shared" si="369"/>
        <v>0</v>
      </c>
      <c r="CL150" s="203">
        <f t="shared" si="354"/>
        <v>12</v>
      </c>
      <c r="CM150" s="4">
        <f>U150*Jahresdaten!$AD$2</f>
        <v>0</v>
      </c>
      <c r="CN150" s="112">
        <f>CJ150*Jahresdaten!$AD$2</f>
        <v>0</v>
      </c>
      <c r="CO150" s="366"/>
      <c r="CP150" s="116">
        <f>U150*Jahresdaten!$AD$3</f>
        <v>0</v>
      </c>
      <c r="CQ150" s="12">
        <f>CJ150*Jahresdaten!$AD$3</f>
        <v>0</v>
      </c>
      <c r="CR150" s="353"/>
      <c r="CS150" s="14"/>
      <c r="CT150" s="136"/>
      <c r="CU150" s="140" t="str">
        <f>IF(CT150=0,"",CT150*'Vergleich Holz Strom'!$B$2)</f>
        <v/>
      </c>
      <c r="CV150" s="353"/>
      <c r="CW150" s="366"/>
      <c r="CX150" s="345"/>
      <c r="CY150" s="345"/>
      <c r="CZ150" s="345"/>
      <c r="DA150" s="348"/>
      <c r="DB150" s="94"/>
      <c r="DC150" s="88">
        <f t="shared" si="281"/>
        <v>24277.927999999967</v>
      </c>
      <c r="DD150" s="94"/>
      <c r="DE150" s="88">
        <f t="shared" si="284"/>
        <v>-18700.112547000001</v>
      </c>
      <c r="DF150" s="100" t="e">
        <f ca="1">BE150+(SUM(CS146:CS157)/12)</f>
        <v>#N/A</v>
      </c>
      <c r="DG150" s="351"/>
      <c r="DH150" s="8">
        <f t="shared" si="401"/>
        <v>0</v>
      </c>
      <c r="DI150" s="123">
        <f t="shared" si="309"/>
        <v>9600</v>
      </c>
      <c r="DJ150" s="2">
        <f t="shared" si="402"/>
        <v>0</v>
      </c>
      <c r="DK150" s="127">
        <f>DK157/12*5</f>
        <v>3250</v>
      </c>
      <c r="DL150" s="2">
        <f t="shared" si="403"/>
        <v>650</v>
      </c>
      <c r="DM150" s="130">
        <f t="shared" si="404"/>
        <v>0</v>
      </c>
      <c r="DN150" s="3">
        <f>DN157/12*5</f>
        <v>1250</v>
      </c>
      <c r="DO150" s="130">
        <f t="shared" si="405"/>
        <v>250</v>
      </c>
      <c r="DP150" s="4">
        <f t="shared" si="406"/>
        <v>0</v>
      </c>
      <c r="DQ150" s="116">
        <f t="shared" si="407"/>
        <v>5100</v>
      </c>
      <c r="DR150" s="116">
        <f t="shared" si="412"/>
        <v>1350</v>
      </c>
    </row>
    <row r="151" spans="1:122" ht="14.25" customHeight="1" thickBot="1" x14ac:dyDescent="0.2">
      <c r="A151" s="416"/>
      <c r="B151" s="16">
        <v>47908</v>
      </c>
      <c r="C151" s="207">
        <f>'PV-Felder'!$I$4</f>
        <v>1860</v>
      </c>
      <c r="D151" s="351"/>
      <c r="E151" s="61">
        <v>0</v>
      </c>
      <c r="F151" s="351"/>
      <c r="G151" s="56" t="e">
        <f t="shared" ca="1" si="339"/>
        <v>#N/A</v>
      </c>
      <c r="H151" s="351"/>
      <c r="I151" s="61">
        <v>0</v>
      </c>
      <c r="J151" s="351"/>
      <c r="K151" s="61">
        <v>0</v>
      </c>
      <c r="L151" s="351"/>
      <c r="M151" s="65">
        <f t="shared" si="358"/>
        <v>0</v>
      </c>
      <c r="N151" s="373"/>
      <c r="O151" s="288"/>
      <c r="P151" s="288"/>
      <c r="Q151" s="286">
        <f t="shared" si="340"/>
        <v>0</v>
      </c>
      <c r="R151" s="334"/>
      <c r="S151" s="61">
        <v>0</v>
      </c>
      <c r="T151" s="376"/>
      <c r="U151" s="61">
        <v>0</v>
      </c>
      <c r="V151" s="342"/>
      <c r="W151" s="61">
        <v>0</v>
      </c>
      <c r="X151" s="342"/>
      <c r="Y151" s="211" t="e">
        <f t="shared" si="272"/>
        <v>#N/A</v>
      </c>
      <c r="Z151" s="370"/>
      <c r="AA151" s="61">
        <v>0</v>
      </c>
      <c r="AB151" s="351"/>
      <c r="AC151" s="61">
        <v>0</v>
      </c>
      <c r="AD151" s="351"/>
      <c r="AE151" s="73" t="e">
        <f t="shared" si="303"/>
        <v>#N/A</v>
      </c>
      <c r="AF151" s="356"/>
      <c r="AG151" s="73" t="e">
        <f t="shared" si="304"/>
        <v>#N/A</v>
      </c>
      <c r="AH151" s="356"/>
      <c r="AI151" s="221">
        <f t="shared" si="408"/>
        <v>29.26</v>
      </c>
      <c r="AJ151" s="78">
        <f t="shared" ref="AJ151:AP151" si="415">AJ150</f>
        <v>0.26750000000000002</v>
      </c>
      <c r="AK151" s="79">
        <f t="shared" si="415"/>
        <v>9.9166666666666661</v>
      </c>
      <c r="AL151" s="80">
        <f t="shared" si="415"/>
        <v>187</v>
      </c>
      <c r="AM151" s="78">
        <f t="shared" si="415"/>
        <v>9.737942583732058E-2</v>
      </c>
      <c r="AN151" s="80">
        <f t="shared" si="415"/>
        <v>143</v>
      </c>
      <c r="AO151" s="78">
        <f t="shared" si="415"/>
        <v>0.21099999999999999</v>
      </c>
      <c r="AP151" s="88">
        <f t="shared" si="415"/>
        <v>12</v>
      </c>
      <c r="AQ151" s="64">
        <f t="shared" si="364"/>
        <v>21.5</v>
      </c>
      <c r="AR151" s="64">
        <f t="shared" si="365"/>
        <v>11.5</v>
      </c>
      <c r="AS151" s="88">
        <f t="shared" si="366"/>
        <v>1.1830000000000001</v>
      </c>
      <c r="AT151" s="91">
        <f t="shared" si="249"/>
        <v>283</v>
      </c>
      <c r="AU151" s="94"/>
      <c r="AV151" s="95"/>
      <c r="AW151" s="56">
        <f t="shared" si="342"/>
        <v>0</v>
      </c>
      <c r="AX151" s="351"/>
      <c r="AY151" s="100">
        <f t="shared" si="371"/>
        <v>9.9166666666666661</v>
      </c>
      <c r="AZ151" s="360"/>
      <c r="BA151" s="91">
        <f t="shared" si="400"/>
        <v>-1412.7792136666681</v>
      </c>
      <c r="BB151" s="5">
        <f t="shared" si="306"/>
        <v>-9.9166666666666661</v>
      </c>
      <c r="BC151" s="363"/>
      <c r="BD151" s="91" t="e">
        <f t="shared" ca="1" si="343"/>
        <v>#N/A</v>
      </c>
      <c r="BE151" s="91" t="e">
        <f t="shared" ca="1" si="344"/>
        <v>#N/A</v>
      </c>
      <c r="BF151" s="91">
        <f t="shared" si="345"/>
        <v>31.833333333333329</v>
      </c>
      <c r="BG151" s="91" t="e">
        <f t="shared" ca="1" si="346"/>
        <v>#N/A</v>
      </c>
      <c r="BH151" s="91" t="e">
        <f t="shared" ca="1" si="392"/>
        <v>#N/A</v>
      </c>
      <c r="BI151" s="10" t="e">
        <f t="shared" ca="1" si="360"/>
        <v>#N/A</v>
      </c>
      <c r="BJ151" s="104">
        <f>((M151+Q151)*AJ151+AK151)+((U151-W151+W151/('Vergleich Holz Strom'!$B$8-0.6))*AO151+AP151)</f>
        <v>21.916666666666664</v>
      </c>
      <c r="BK151" s="10" t="e">
        <f t="shared" ca="1" si="307"/>
        <v>#N/A</v>
      </c>
      <c r="BL151" s="379"/>
      <c r="BM151" s="104" t="e">
        <f t="shared" ca="1" si="356"/>
        <v>#N/A</v>
      </c>
      <c r="BN151" s="40" t="e">
        <f ca="1">IF(ISNUMBER(BK151),BN150+SUMIF(BK146:BK157,"&lt;&gt;#NV",BK146:BK157)/COUNTIF(BK146:BK157,"&lt;&gt;#NV"),#N/A)</f>
        <v>#N/A</v>
      </c>
      <c r="BO151" s="10" t="e">
        <f t="shared" ca="1" si="395"/>
        <v>#N/A</v>
      </c>
      <c r="BP151" s="104" t="e">
        <f t="shared" ca="1" si="308"/>
        <v>#N/A</v>
      </c>
      <c r="BQ151" s="104">
        <f t="shared" ca="1" si="319"/>
        <v>-60403.066333008028</v>
      </c>
      <c r="BR151" s="10">
        <f t="shared" si="347"/>
        <v>9.9166666666666661</v>
      </c>
      <c r="BS151" s="311"/>
      <c r="BT151" s="307"/>
      <c r="BU151" s="295">
        <f t="shared" si="348"/>
        <v>0</v>
      </c>
      <c r="BV151" s="323"/>
      <c r="BW151" s="299">
        <f t="shared" si="349"/>
        <v>0</v>
      </c>
      <c r="BX151" s="295">
        <f t="shared" si="350"/>
        <v>0</v>
      </c>
      <c r="BY151" s="382"/>
      <c r="BZ151" s="299">
        <f t="shared" si="357"/>
        <v>0</v>
      </c>
      <c r="CA151" s="295">
        <f t="shared" si="362"/>
        <v>0</v>
      </c>
      <c r="CB151" s="323"/>
      <c r="CC151" s="314">
        <f t="shared" si="410"/>
        <v>0</v>
      </c>
      <c r="CD151" s="326"/>
      <c r="CE151" s="299">
        <f t="shared" si="351"/>
        <v>0</v>
      </c>
      <c r="CF151" s="284">
        <f t="shared" si="411"/>
        <v>0</v>
      </c>
      <c r="CG151" s="323"/>
      <c r="CH151" s="302">
        <f t="shared" si="389"/>
        <v>0</v>
      </c>
      <c r="CI151" s="108">
        <f t="shared" si="352"/>
        <v>0</v>
      </c>
      <c r="CJ151" s="200">
        <f t="shared" si="353"/>
        <v>0</v>
      </c>
      <c r="CK151" s="197">
        <f t="shared" si="369"/>
        <v>0</v>
      </c>
      <c r="CL151" s="203">
        <f t="shared" si="354"/>
        <v>12</v>
      </c>
      <c r="CM151" s="4">
        <f>U151*Jahresdaten!$AD$2</f>
        <v>0</v>
      </c>
      <c r="CN151" s="112">
        <f>CJ151*Jahresdaten!$AD$2</f>
        <v>0</v>
      </c>
      <c r="CO151" s="366"/>
      <c r="CP151" s="116">
        <f>U151*Jahresdaten!$AD$3</f>
        <v>0</v>
      </c>
      <c r="CQ151" s="12">
        <f>CJ151*Jahresdaten!$AD$3</f>
        <v>0</v>
      </c>
      <c r="CR151" s="353"/>
      <c r="CS151" s="14"/>
      <c r="CT151" s="136"/>
      <c r="CU151" s="140" t="str">
        <f>IF(CT151=0,"",CT151*'Vergleich Holz Strom'!$B$2)</f>
        <v/>
      </c>
      <c r="CV151" s="353"/>
      <c r="CW151" s="366"/>
      <c r="CX151" s="345"/>
      <c r="CY151" s="345"/>
      <c r="CZ151" s="345"/>
      <c r="DA151" s="348"/>
      <c r="DB151" s="94"/>
      <c r="DC151" s="88">
        <f t="shared" si="281"/>
        <v>24455.011333333299</v>
      </c>
      <c r="DD151" s="94"/>
      <c r="DE151" s="88">
        <f t="shared" si="284"/>
        <v>-18843.112547000001</v>
      </c>
      <c r="DF151" s="100" t="e">
        <f ca="1">BE151+(SUM(CS146:CS157)/12)</f>
        <v>#N/A</v>
      </c>
      <c r="DG151" s="351"/>
      <c r="DH151" s="8">
        <f t="shared" si="401"/>
        <v>0</v>
      </c>
      <c r="DI151" s="123">
        <f t="shared" si="309"/>
        <v>11850</v>
      </c>
      <c r="DJ151" s="2">
        <f t="shared" si="402"/>
        <v>0</v>
      </c>
      <c r="DK151" s="127">
        <f>DK157/12*6</f>
        <v>3900</v>
      </c>
      <c r="DL151" s="2">
        <f t="shared" si="403"/>
        <v>650</v>
      </c>
      <c r="DM151" s="130">
        <f t="shared" si="404"/>
        <v>0</v>
      </c>
      <c r="DN151" s="3">
        <f>DN157/12*6</f>
        <v>1500</v>
      </c>
      <c r="DO151" s="130">
        <f t="shared" si="405"/>
        <v>250</v>
      </c>
      <c r="DP151" s="4">
        <f t="shared" si="406"/>
        <v>0</v>
      </c>
      <c r="DQ151" s="116">
        <f t="shared" si="407"/>
        <v>6450</v>
      </c>
      <c r="DR151" s="116">
        <f t="shared" si="412"/>
        <v>1350</v>
      </c>
    </row>
    <row r="152" spans="1:122" ht="15" customHeight="1" thickBot="1" x14ac:dyDescent="0.2">
      <c r="A152" s="416"/>
      <c r="B152" s="16">
        <v>47939</v>
      </c>
      <c r="C152" s="207">
        <f>'PV-Felder'!$I$5</f>
        <v>2887.3</v>
      </c>
      <c r="D152" s="351"/>
      <c r="E152" s="61">
        <v>0</v>
      </c>
      <c r="F152" s="351"/>
      <c r="G152" s="56" t="e">
        <f t="shared" ca="1" si="339"/>
        <v>#N/A</v>
      </c>
      <c r="H152" s="351"/>
      <c r="I152" s="61">
        <v>0</v>
      </c>
      <c r="J152" s="351"/>
      <c r="K152" s="61">
        <v>0</v>
      </c>
      <c r="L152" s="351"/>
      <c r="M152" s="65">
        <f t="shared" si="358"/>
        <v>0</v>
      </c>
      <c r="N152" s="373"/>
      <c r="O152" s="288"/>
      <c r="P152" s="288"/>
      <c r="Q152" s="286">
        <f t="shared" si="340"/>
        <v>0</v>
      </c>
      <c r="R152" s="334"/>
      <c r="S152" s="61">
        <v>0</v>
      </c>
      <c r="T152" s="376"/>
      <c r="U152" s="61">
        <v>0</v>
      </c>
      <c r="V152" s="342"/>
      <c r="W152" s="61">
        <v>0</v>
      </c>
      <c r="X152" s="342"/>
      <c r="Y152" s="211" t="e">
        <f t="shared" si="272"/>
        <v>#N/A</v>
      </c>
      <c r="Z152" s="370"/>
      <c r="AA152" s="61">
        <v>0</v>
      </c>
      <c r="AB152" s="351"/>
      <c r="AC152" s="61">
        <v>0</v>
      </c>
      <c r="AD152" s="351"/>
      <c r="AE152" s="73" t="e">
        <f t="shared" si="303"/>
        <v>#N/A</v>
      </c>
      <c r="AF152" s="356"/>
      <c r="AG152" s="73" t="e">
        <f t="shared" si="304"/>
        <v>#N/A</v>
      </c>
      <c r="AH152" s="356"/>
      <c r="AI152" s="221">
        <f t="shared" si="408"/>
        <v>29.26</v>
      </c>
      <c r="AJ152" s="78">
        <f t="shared" ref="AJ152:AP152" si="416">AJ151</f>
        <v>0.26750000000000002</v>
      </c>
      <c r="AK152" s="79">
        <f t="shared" si="416"/>
        <v>9.9166666666666661</v>
      </c>
      <c r="AL152" s="80">
        <f t="shared" si="416"/>
        <v>187</v>
      </c>
      <c r="AM152" s="78">
        <f t="shared" si="416"/>
        <v>9.737942583732058E-2</v>
      </c>
      <c r="AN152" s="80">
        <f t="shared" si="416"/>
        <v>143</v>
      </c>
      <c r="AO152" s="78">
        <f t="shared" si="416"/>
        <v>0.21099999999999999</v>
      </c>
      <c r="AP152" s="88">
        <f t="shared" si="416"/>
        <v>12</v>
      </c>
      <c r="AQ152" s="64">
        <f t="shared" si="364"/>
        <v>21.5</v>
      </c>
      <c r="AR152" s="64">
        <f t="shared" si="365"/>
        <v>11.5</v>
      </c>
      <c r="AS152" s="88">
        <f t="shared" si="366"/>
        <v>1.1830000000000001</v>
      </c>
      <c r="AT152" s="91">
        <f t="shared" si="249"/>
        <v>283</v>
      </c>
      <c r="AU152" s="94"/>
      <c r="AV152" s="95"/>
      <c r="AW152" s="56">
        <f t="shared" si="342"/>
        <v>0</v>
      </c>
      <c r="AX152" s="351"/>
      <c r="AY152" s="100">
        <f t="shared" si="371"/>
        <v>9.9166666666666661</v>
      </c>
      <c r="AZ152" s="360"/>
      <c r="BA152" s="91">
        <f t="shared" si="400"/>
        <v>-1422.6958803333348</v>
      </c>
      <c r="BB152" s="5">
        <f t="shared" si="306"/>
        <v>-9.9166666666666661</v>
      </c>
      <c r="BC152" s="363"/>
      <c r="BD152" s="91" t="e">
        <f t="shared" ca="1" si="343"/>
        <v>#N/A</v>
      </c>
      <c r="BE152" s="91" t="e">
        <f t="shared" ca="1" si="344"/>
        <v>#N/A</v>
      </c>
      <c r="BF152" s="91">
        <f t="shared" si="345"/>
        <v>31.833333333333329</v>
      </c>
      <c r="BG152" s="91" t="e">
        <f t="shared" ca="1" si="346"/>
        <v>#N/A</v>
      </c>
      <c r="BH152" s="91" t="e">
        <f t="shared" ca="1" si="392"/>
        <v>#N/A</v>
      </c>
      <c r="BI152" s="10" t="e">
        <f t="shared" ca="1" si="360"/>
        <v>#N/A</v>
      </c>
      <c r="BJ152" s="104">
        <f>((M152+Q152)*AJ152+AK152)+((U152-W152+W152/('Vergleich Holz Strom'!$B$8-0.6))*AO152+AP152)</f>
        <v>21.916666666666664</v>
      </c>
      <c r="BK152" s="10" t="e">
        <f t="shared" ca="1" si="307"/>
        <v>#N/A</v>
      </c>
      <c r="BL152" s="379"/>
      <c r="BM152" s="104" t="e">
        <f t="shared" ca="1" si="356"/>
        <v>#N/A</v>
      </c>
      <c r="BN152" s="40" t="e">
        <f ca="1">IF(ISNUMBER(BK152),BN151+SUMIF(BK146:BK157,"&lt;&gt;#NV",BK146:BK157)/COUNTIF(BK146:BK157,"&lt;&gt;#NV"),#N/A)</f>
        <v>#N/A</v>
      </c>
      <c r="BO152" s="10" t="e">
        <f t="shared" ca="1" si="395"/>
        <v>#N/A</v>
      </c>
      <c r="BP152" s="104" t="e">
        <f t="shared" ca="1" si="308"/>
        <v>#N/A</v>
      </c>
      <c r="BQ152" s="104">
        <f t="shared" ca="1" si="319"/>
        <v>-60383.866333008002</v>
      </c>
      <c r="BR152" s="10">
        <f t="shared" si="347"/>
        <v>9.9166666666666661</v>
      </c>
      <c r="BS152" s="311"/>
      <c r="BT152" s="307"/>
      <c r="BU152" s="295">
        <f t="shared" si="348"/>
        <v>0</v>
      </c>
      <c r="BV152" s="323"/>
      <c r="BW152" s="299">
        <f t="shared" si="349"/>
        <v>0</v>
      </c>
      <c r="BX152" s="295">
        <f t="shared" si="350"/>
        <v>0</v>
      </c>
      <c r="BY152" s="382"/>
      <c r="BZ152" s="299">
        <f t="shared" si="357"/>
        <v>0</v>
      </c>
      <c r="CA152" s="295">
        <f t="shared" si="362"/>
        <v>0</v>
      </c>
      <c r="CB152" s="323"/>
      <c r="CC152" s="314">
        <f t="shared" si="410"/>
        <v>0</v>
      </c>
      <c r="CD152" s="326"/>
      <c r="CE152" s="299">
        <f t="shared" si="351"/>
        <v>0</v>
      </c>
      <c r="CF152" s="284">
        <f t="shared" si="411"/>
        <v>0</v>
      </c>
      <c r="CG152" s="323"/>
      <c r="CH152" s="302">
        <f t="shared" si="389"/>
        <v>0</v>
      </c>
      <c r="CI152" s="108">
        <f t="shared" si="352"/>
        <v>0</v>
      </c>
      <c r="CJ152" s="200">
        <f t="shared" si="353"/>
        <v>0</v>
      </c>
      <c r="CK152" s="197">
        <f t="shared" si="369"/>
        <v>0</v>
      </c>
      <c r="CL152" s="203">
        <f t="shared" si="354"/>
        <v>12</v>
      </c>
      <c r="CM152" s="4">
        <f>U152*Jahresdaten!$AD$2</f>
        <v>0</v>
      </c>
      <c r="CN152" s="112">
        <f>CJ152*Jahresdaten!$AD$2</f>
        <v>0</v>
      </c>
      <c r="CO152" s="366"/>
      <c r="CP152" s="116">
        <f>U152*Jahresdaten!$AD$3</f>
        <v>0</v>
      </c>
      <c r="CQ152" s="12">
        <f>CJ152*Jahresdaten!$AD$3</f>
        <v>0</v>
      </c>
      <c r="CR152" s="353"/>
      <c r="CS152" s="14"/>
      <c r="CT152" s="136"/>
      <c r="CU152" s="140" t="str">
        <f>IF(CT152=0,"",CT152*'Vergleich Holz Strom'!$B$2)</f>
        <v/>
      </c>
      <c r="CV152" s="121" t="s">
        <v>6</v>
      </c>
      <c r="CW152" s="366"/>
      <c r="CX152" s="345"/>
      <c r="CY152" s="345"/>
      <c r="CZ152" s="345"/>
      <c r="DA152" s="348"/>
      <c r="DB152" s="94"/>
      <c r="DC152" s="88">
        <f t="shared" si="281"/>
        <v>24632.094666666631</v>
      </c>
      <c r="DD152" s="94"/>
      <c r="DE152" s="88">
        <f t="shared" si="284"/>
        <v>-18986.112547000001</v>
      </c>
      <c r="DF152" s="100" t="e">
        <f ca="1">BE152+(SUM(CS146:CS157)/12)</f>
        <v>#N/A</v>
      </c>
      <c r="DG152" s="351"/>
      <c r="DH152" s="8">
        <f t="shared" si="401"/>
        <v>0</v>
      </c>
      <c r="DI152" s="123">
        <f t="shared" si="309"/>
        <v>14000</v>
      </c>
      <c r="DJ152" s="2">
        <f t="shared" si="402"/>
        <v>0</v>
      </c>
      <c r="DK152" s="127">
        <f>DK157/12*7</f>
        <v>4550</v>
      </c>
      <c r="DL152" s="2">
        <f t="shared" si="403"/>
        <v>650</v>
      </c>
      <c r="DM152" s="130">
        <f t="shared" si="404"/>
        <v>0</v>
      </c>
      <c r="DN152" s="3">
        <f>DN157/12*7</f>
        <v>1750</v>
      </c>
      <c r="DO152" s="130">
        <f t="shared" si="405"/>
        <v>250</v>
      </c>
      <c r="DP152" s="4">
        <f t="shared" si="406"/>
        <v>0</v>
      </c>
      <c r="DQ152" s="116">
        <f t="shared" si="407"/>
        <v>7700</v>
      </c>
      <c r="DR152" s="116">
        <f t="shared" si="412"/>
        <v>1250</v>
      </c>
    </row>
    <row r="153" spans="1:122" ht="14.25" customHeight="1" thickBot="1" x14ac:dyDescent="0.2">
      <c r="A153" s="416"/>
      <c r="B153" s="16">
        <v>47969</v>
      </c>
      <c r="C153" s="207">
        <f>'PV-Felder'!$I$6</f>
        <v>3391.3999999999996</v>
      </c>
      <c r="D153" s="351"/>
      <c r="E153" s="61">
        <v>0</v>
      </c>
      <c r="F153" s="351"/>
      <c r="G153" s="56" t="e">
        <f t="shared" ca="1" si="339"/>
        <v>#N/A</v>
      </c>
      <c r="H153" s="351"/>
      <c r="I153" s="61">
        <v>0</v>
      </c>
      <c r="J153" s="351"/>
      <c r="K153" s="61">
        <v>0</v>
      </c>
      <c r="L153" s="351"/>
      <c r="M153" s="65">
        <f t="shared" si="358"/>
        <v>0</v>
      </c>
      <c r="N153" s="373"/>
      <c r="O153" s="288"/>
      <c r="P153" s="288"/>
      <c r="Q153" s="286">
        <f t="shared" si="340"/>
        <v>0</v>
      </c>
      <c r="R153" s="334"/>
      <c r="S153" s="61">
        <v>0</v>
      </c>
      <c r="T153" s="376"/>
      <c r="U153" s="61">
        <v>0</v>
      </c>
      <c r="V153" s="342"/>
      <c r="W153" s="61">
        <v>0</v>
      </c>
      <c r="X153" s="342"/>
      <c r="Y153" s="211" t="e">
        <f t="shared" si="272"/>
        <v>#N/A</v>
      </c>
      <c r="Z153" s="370"/>
      <c r="AA153" s="61">
        <v>0</v>
      </c>
      <c r="AB153" s="351"/>
      <c r="AC153" s="61">
        <v>0</v>
      </c>
      <c r="AD153" s="351"/>
      <c r="AE153" s="73" t="e">
        <f t="shared" si="303"/>
        <v>#N/A</v>
      </c>
      <c r="AF153" s="356"/>
      <c r="AG153" s="73" t="e">
        <f t="shared" si="304"/>
        <v>#N/A</v>
      </c>
      <c r="AH153" s="356"/>
      <c r="AI153" s="221">
        <f t="shared" si="408"/>
        <v>29.26</v>
      </c>
      <c r="AJ153" s="78">
        <f t="shared" ref="AJ153:AP153" si="417">AJ152</f>
        <v>0.26750000000000002</v>
      </c>
      <c r="AK153" s="79">
        <f t="shared" si="417"/>
        <v>9.9166666666666661</v>
      </c>
      <c r="AL153" s="80">
        <f t="shared" si="417"/>
        <v>187</v>
      </c>
      <c r="AM153" s="78">
        <f t="shared" si="417"/>
        <v>9.737942583732058E-2</v>
      </c>
      <c r="AN153" s="80">
        <f t="shared" si="417"/>
        <v>143</v>
      </c>
      <c r="AO153" s="78">
        <f t="shared" si="417"/>
        <v>0.21099999999999999</v>
      </c>
      <c r="AP153" s="88">
        <f t="shared" si="417"/>
        <v>12</v>
      </c>
      <c r="AQ153" s="64">
        <f t="shared" si="364"/>
        <v>21.5</v>
      </c>
      <c r="AR153" s="64">
        <f t="shared" si="365"/>
        <v>11.5</v>
      </c>
      <c r="AS153" s="88">
        <f t="shared" si="366"/>
        <v>1.1830000000000001</v>
      </c>
      <c r="AT153" s="91">
        <f t="shared" si="249"/>
        <v>283</v>
      </c>
      <c r="AU153" s="94"/>
      <c r="AV153" s="95"/>
      <c r="AW153" s="56">
        <f t="shared" si="342"/>
        <v>0</v>
      </c>
      <c r="AX153" s="351"/>
      <c r="AY153" s="100">
        <f t="shared" si="371"/>
        <v>9.9166666666666661</v>
      </c>
      <c r="AZ153" s="360"/>
      <c r="BA153" s="91">
        <f t="shared" si="400"/>
        <v>-1432.6125470000015</v>
      </c>
      <c r="BB153" s="5">
        <f t="shared" si="306"/>
        <v>-9.9166666666666661</v>
      </c>
      <c r="BC153" s="363"/>
      <c r="BD153" s="91" t="e">
        <f t="shared" ca="1" si="343"/>
        <v>#N/A</v>
      </c>
      <c r="BE153" s="91" t="e">
        <f t="shared" ca="1" si="344"/>
        <v>#N/A</v>
      </c>
      <c r="BF153" s="91">
        <f t="shared" si="345"/>
        <v>31.833333333333329</v>
      </c>
      <c r="BG153" s="91" t="e">
        <f t="shared" ca="1" si="346"/>
        <v>#N/A</v>
      </c>
      <c r="BH153" s="91" t="e">
        <f t="shared" ca="1" si="392"/>
        <v>#N/A</v>
      </c>
      <c r="BI153" s="10" t="e">
        <f t="shared" ca="1" si="360"/>
        <v>#N/A</v>
      </c>
      <c r="BJ153" s="104">
        <f>((M153+Q153)*AJ153+AK153)+((U153-W153+W153/('Vergleich Holz Strom'!$B$8-0.6))*AO153+AP153)</f>
        <v>21.916666666666664</v>
      </c>
      <c r="BK153" s="10" t="e">
        <f t="shared" ca="1" si="307"/>
        <v>#N/A</v>
      </c>
      <c r="BL153" s="379"/>
      <c r="BM153" s="104" t="e">
        <f t="shared" ca="1" si="356"/>
        <v>#N/A</v>
      </c>
      <c r="BN153" s="40" t="e">
        <f ca="1">IF(ISNUMBER(BK153),BN152+SUMIF(BK146:BK157,"&lt;&gt;#NV",BK146:BK157)/COUNTIF(BK146:BK157,"&lt;&gt;#NV"),#N/A)</f>
        <v>#N/A</v>
      </c>
      <c r="BO153" s="10" t="e">
        <f t="shared" ca="1" si="395"/>
        <v>#N/A</v>
      </c>
      <c r="BP153" s="104" t="e">
        <f t="shared" ca="1" si="308"/>
        <v>#N/A</v>
      </c>
      <c r="BQ153" s="104">
        <f t="shared" ca="1" si="319"/>
        <v>-60364.66633300799</v>
      </c>
      <c r="BR153" s="10">
        <f t="shared" si="347"/>
        <v>9.9166666666666661</v>
      </c>
      <c r="BS153" s="311"/>
      <c r="BT153" s="307"/>
      <c r="BU153" s="295">
        <f t="shared" si="348"/>
        <v>0</v>
      </c>
      <c r="BV153" s="323"/>
      <c r="BW153" s="299">
        <f t="shared" si="349"/>
        <v>0</v>
      </c>
      <c r="BX153" s="295">
        <f t="shared" si="350"/>
        <v>0</v>
      </c>
      <c r="BY153" s="382"/>
      <c r="BZ153" s="299">
        <f t="shared" si="357"/>
        <v>0</v>
      </c>
      <c r="CA153" s="295">
        <f t="shared" si="362"/>
        <v>0</v>
      </c>
      <c r="CB153" s="323"/>
      <c r="CC153" s="314">
        <f t="shared" si="410"/>
        <v>0</v>
      </c>
      <c r="CD153" s="326"/>
      <c r="CE153" s="299">
        <f t="shared" si="351"/>
        <v>0</v>
      </c>
      <c r="CF153" s="284">
        <f t="shared" si="411"/>
        <v>0</v>
      </c>
      <c r="CG153" s="323"/>
      <c r="CH153" s="302">
        <f t="shared" si="389"/>
        <v>0</v>
      </c>
      <c r="CI153" s="108">
        <f t="shared" si="352"/>
        <v>0</v>
      </c>
      <c r="CJ153" s="200">
        <f t="shared" si="353"/>
        <v>0</v>
      </c>
      <c r="CK153" s="197">
        <f t="shared" si="369"/>
        <v>0</v>
      </c>
      <c r="CL153" s="203">
        <f t="shared" si="354"/>
        <v>12</v>
      </c>
      <c r="CM153" s="4">
        <f>U153*Jahresdaten!$AD$2</f>
        <v>0</v>
      </c>
      <c r="CN153" s="112">
        <f>CJ153*Jahresdaten!$AD$2</f>
        <v>0</v>
      </c>
      <c r="CO153" s="366"/>
      <c r="CP153" s="116">
        <f>U153*Jahresdaten!$AD$3</f>
        <v>0</v>
      </c>
      <c r="CQ153" s="12">
        <f>CJ153*Jahresdaten!$AD$3</f>
        <v>0</v>
      </c>
      <c r="CR153" s="353"/>
      <c r="CS153" s="14"/>
      <c r="CT153" s="136"/>
      <c r="CU153" s="140" t="str">
        <f>IF(CT153=0,"",CT153*'Vergleich Holz Strom'!$B$2)</f>
        <v/>
      </c>
      <c r="CV153" s="353">
        <f>SUM(CS146:CS157)</f>
        <v>1169</v>
      </c>
      <c r="CW153" s="366"/>
      <c r="CX153" s="345"/>
      <c r="CY153" s="345"/>
      <c r="CZ153" s="345"/>
      <c r="DA153" s="348"/>
      <c r="DB153" s="94"/>
      <c r="DC153" s="88">
        <f t="shared" si="281"/>
        <v>24809.177999999964</v>
      </c>
      <c r="DD153" s="94"/>
      <c r="DE153" s="88">
        <f t="shared" si="284"/>
        <v>-19129.112547000001</v>
      </c>
      <c r="DF153" s="100" t="e">
        <f ca="1">BE153+(SUM(CS146:CS157)/12)</f>
        <v>#N/A</v>
      </c>
      <c r="DG153" s="351"/>
      <c r="DH153" s="8">
        <f t="shared" si="401"/>
        <v>0</v>
      </c>
      <c r="DI153" s="123">
        <f t="shared" si="309"/>
        <v>16000</v>
      </c>
      <c r="DJ153" s="2">
        <f t="shared" si="402"/>
        <v>0</v>
      </c>
      <c r="DK153" s="127">
        <f>DK157/12*8</f>
        <v>5200</v>
      </c>
      <c r="DL153" s="2">
        <f t="shared" si="403"/>
        <v>650</v>
      </c>
      <c r="DM153" s="130">
        <f t="shared" si="404"/>
        <v>0</v>
      </c>
      <c r="DN153" s="3">
        <f>DN157/12*8</f>
        <v>2000</v>
      </c>
      <c r="DO153" s="130">
        <f t="shared" si="405"/>
        <v>250</v>
      </c>
      <c r="DP153" s="4">
        <f t="shared" si="406"/>
        <v>0</v>
      </c>
      <c r="DQ153" s="116">
        <f t="shared" si="407"/>
        <v>8800</v>
      </c>
      <c r="DR153" s="116">
        <f t="shared" si="412"/>
        <v>1100</v>
      </c>
    </row>
    <row r="154" spans="1:122" ht="14.25" customHeight="1" thickBot="1" x14ac:dyDescent="0.2">
      <c r="A154" s="416"/>
      <c r="B154" s="16">
        <v>48000</v>
      </c>
      <c r="C154" s="207">
        <f>'PV-Felder'!$I$7</f>
        <v>3595.6000000000004</v>
      </c>
      <c r="D154" s="351"/>
      <c r="E154" s="61">
        <v>0</v>
      </c>
      <c r="F154" s="351"/>
      <c r="G154" s="56" t="e">
        <f t="shared" ca="1" si="339"/>
        <v>#N/A</v>
      </c>
      <c r="H154" s="351"/>
      <c r="I154" s="61">
        <v>0</v>
      </c>
      <c r="J154" s="351"/>
      <c r="K154" s="61">
        <v>0</v>
      </c>
      <c r="L154" s="351"/>
      <c r="M154" s="65">
        <f t="shared" si="358"/>
        <v>0</v>
      </c>
      <c r="N154" s="373"/>
      <c r="O154" s="288"/>
      <c r="P154" s="288"/>
      <c r="Q154" s="286">
        <f t="shared" si="340"/>
        <v>0</v>
      </c>
      <c r="R154" s="334"/>
      <c r="S154" s="61">
        <v>0</v>
      </c>
      <c r="T154" s="376"/>
      <c r="U154" s="61">
        <v>0</v>
      </c>
      <c r="V154" s="342"/>
      <c r="W154" s="61">
        <v>0</v>
      </c>
      <c r="X154" s="342"/>
      <c r="Y154" s="211" t="e">
        <f t="shared" si="272"/>
        <v>#N/A</v>
      </c>
      <c r="Z154" s="370"/>
      <c r="AA154" s="61">
        <v>0</v>
      </c>
      <c r="AB154" s="351"/>
      <c r="AC154" s="61">
        <v>0</v>
      </c>
      <c r="AD154" s="351"/>
      <c r="AE154" s="73" t="e">
        <f t="shared" si="303"/>
        <v>#N/A</v>
      </c>
      <c r="AF154" s="356"/>
      <c r="AG154" s="73" t="e">
        <f t="shared" si="304"/>
        <v>#N/A</v>
      </c>
      <c r="AH154" s="356"/>
      <c r="AI154" s="221">
        <f t="shared" si="408"/>
        <v>29.26</v>
      </c>
      <c r="AJ154" s="78">
        <f t="shared" ref="AJ154:AP154" si="418">AJ153</f>
        <v>0.26750000000000002</v>
      </c>
      <c r="AK154" s="79">
        <f t="shared" si="418"/>
        <v>9.9166666666666661</v>
      </c>
      <c r="AL154" s="80">
        <f t="shared" si="418"/>
        <v>187</v>
      </c>
      <c r="AM154" s="78">
        <f t="shared" si="418"/>
        <v>9.737942583732058E-2</v>
      </c>
      <c r="AN154" s="80">
        <f t="shared" si="418"/>
        <v>143</v>
      </c>
      <c r="AO154" s="78">
        <f t="shared" si="418"/>
        <v>0.21099999999999999</v>
      </c>
      <c r="AP154" s="88">
        <f t="shared" si="418"/>
        <v>12</v>
      </c>
      <c r="AQ154" s="64">
        <f t="shared" si="364"/>
        <v>21.5</v>
      </c>
      <c r="AR154" s="64">
        <f t="shared" si="365"/>
        <v>11.5</v>
      </c>
      <c r="AS154" s="88">
        <f t="shared" si="366"/>
        <v>1.1830000000000001</v>
      </c>
      <c r="AT154" s="91">
        <f t="shared" si="249"/>
        <v>283</v>
      </c>
      <c r="AU154" s="94"/>
      <c r="AV154" s="95"/>
      <c r="AW154" s="56">
        <f t="shared" si="342"/>
        <v>0</v>
      </c>
      <c r="AX154" s="351"/>
      <c r="AY154" s="100">
        <f t="shared" si="371"/>
        <v>9.9166666666666661</v>
      </c>
      <c r="AZ154" s="360"/>
      <c r="BA154" s="91">
        <f t="shared" si="400"/>
        <v>-1442.5292136666683</v>
      </c>
      <c r="BB154" s="5">
        <f t="shared" si="306"/>
        <v>-9.9166666666666661</v>
      </c>
      <c r="BC154" s="363"/>
      <c r="BD154" s="91" t="e">
        <f t="shared" ca="1" si="343"/>
        <v>#N/A</v>
      </c>
      <c r="BE154" s="91" t="e">
        <f t="shared" ca="1" si="344"/>
        <v>#N/A</v>
      </c>
      <c r="BF154" s="91">
        <f t="shared" si="345"/>
        <v>31.833333333333329</v>
      </c>
      <c r="BG154" s="91" t="e">
        <f t="shared" ca="1" si="346"/>
        <v>#N/A</v>
      </c>
      <c r="BH154" s="91" t="e">
        <f t="shared" ca="1" si="392"/>
        <v>#N/A</v>
      </c>
      <c r="BI154" s="10" t="e">
        <f t="shared" ca="1" si="360"/>
        <v>#N/A</v>
      </c>
      <c r="BJ154" s="104">
        <f>((M154+Q154)*AJ154+AK154)+((U154-W154+W154/('Vergleich Holz Strom'!$B$8-0.6))*AO154+AP154)</f>
        <v>21.916666666666664</v>
      </c>
      <c r="BK154" s="10" t="e">
        <f t="shared" ca="1" si="307"/>
        <v>#N/A</v>
      </c>
      <c r="BL154" s="379"/>
      <c r="BM154" s="104" t="e">
        <f t="shared" ca="1" si="356"/>
        <v>#N/A</v>
      </c>
      <c r="BN154" s="40" t="e">
        <f ca="1">IF(ISNUMBER(BK154),BN153+SUMIF(BK146:BK157,"&lt;&gt;#NV",BK146:BK157)/COUNTIF(BK146:BK157,"&lt;&gt;#NV"),#N/A)</f>
        <v>#N/A</v>
      </c>
      <c r="BO154" s="10" t="e">
        <f t="shared" ca="1" si="395"/>
        <v>#N/A</v>
      </c>
      <c r="BP154" s="104" t="e">
        <f t="shared" ca="1" si="308"/>
        <v>#N/A</v>
      </c>
      <c r="BQ154" s="104">
        <f t="shared" ca="1" si="319"/>
        <v>-60348.478129990159</v>
      </c>
      <c r="BR154" s="10">
        <f t="shared" si="347"/>
        <v>9.9166666666666661</v>
      </c>
      <c r="BS154" s="311"/>
      <c r="BT154" s="307"/>
      <c r="BU154" s="295">
        <f t="shared" si="348"/>
        <v>0</v>
      </c>
      <c r="BV154" s="323"/>
      <c r="BW154" s="299">
        <f t="shared" si="349"/>
        <v>0</v>
      </c>
      <c r="BX154" s="295">
        <f t="shared" si="350"/>
        <v>0</v>
      </c>
      <c r="BY154" s="382"/>
      <c r="BZ154" s="299">
        <f t="shared" si="357"/>
        <v>0</v>
      </c>
      <c r="CA154" s="295">
        <f t="shared" si="362"/>
        <v>0</v>
      </c>
      <c r="CB154" s="323"/>
      <c r="CC154" s="314">
        <f t="shared" si="410"/>
        <v>0</v>
      </c>
      <c r="CD154" s="326"/>
      <c r="CE154" s="299">
        <f t="shared" si="351"/>
        <v>0</v>
      </c>
      <c r="CF154" s="284">
        <f t="shared" si="411"/>
        <v>0</v>
      </c>
      <c r="CG154" s="323"/>
      <c r="CH154" s="302">
        <f t="shared" si="389"/>
        <v>0</v>
      </c>
      <c r="CI154" s="108">
        <f t="shared" si="352"/>
        <v>0</v>
      </c>
      <c r="CJ154" s="200">
        <f t="shared" si="353"/>
        <v>0</v>
      </c>
      <c r="CK154" s="197">
        <f t="shared" si="369"/>
        <v>0</v>
      </c>
      <c r="CL154" s="203">
        <f t="shared" si="354"/>
        <v>12</v>
      </c>
      <c r="CM154" s="4">
        <f>U154*Jahresdaten!$AD$2</f>
        <v>0</v>
      </c>
      <c r="CN154" s="112">
        <f>CJ154*Jahresdaten!$AD$2</f>
        <v>0</v>
      </c>
      <c r="CO154" s="366"/>
      <c r="CP154" s="116">
        <f>U154*Jahresdaten!$AD$3</f>
        <v>0</v>
      </c>
      <c r="CQ154" s="12">
        <f>CJ154*Jahresdaten!$AD$3</f>
        <v>0</v>
      </c>
      <c r="CR154" s="353"/>
      <c r="CS154" s="14"/>
      <c r="CT154" s="136"/>
      <c r="CU154" s="140" t="str">
        <f>IF(CT154=0,"",CT154*'Vergleich Holz Strom'!$B$2)</f>
        <v/>
      </c>
      <c r="CV154" s="353"/>
      <c r="CW154" s="366"/>
      <c r="CX154" s="345"/>
      <c r="CY154" s="345"/>
      <c r="CZ154" s="345"/>
      <c r="DA154" s="348"/>
      <c r="DB154" s="94"/>
      <c r="DC154" s="88">
        <f t="shared" si="281"/>
        <v>24986.261333333296</v>
      </c>
      <c r="DD154" s="94"/>
      <c r="DE154" s="88">
        <f t="shared" si="284"/>
        <v>-19272.112547000001</v>
      </c>
      <c r="DF154" s="100" t="e">
        <f ca="1">BE154+(SUM(CS146:CS157)/12)</f>
        <v>#N/A</v>
      </c>
      <c r="DG154" s="351"/>
      <c r="DH154" s="8">
        <f t="shared" si="401"/>
        <v>0</v>
      </c>
      <c r="DI154" s="123">
        <f t="shared" si="309"/>
        <v>17200</v>
      </c>
      <c r="DJ154" s="2">
        <f t="shared" si="402"/>
        <v>0</v>
      </c>
      <c r="DK154" s="127">
        <f>DK157/12*9</f>
        <v>5850</v>
      </c>
      <c r="DL154" s="2">
        <f t="shared" si="403"/>
        <v>650</v>
      </c>
      <c r="DM154" s="130">
        <f t="shared" si="404"/>
        <v>0</v>
      </c>
      <c r="DN154" s="3">
        <f>DN157/12*9</f>
        <v>2250</v>
      </c>
      <c r="DO154" s="130">
        <f t="shared" si="405"/>
        <v>250</v>
      </c>
      <c r="DP154" s="4">
        <f t="shared" si="406"/>
        <v>0</v>
      </c>
      <c r="DQ154" s="116">
        <f t="shared" si="407"/>
        <v>9100</v>
      </c>
      <c r="DR154" s="116">
        <f t="shared" si="412"/>
        <v>300</v>
      </c>
    </row>
    <row r="155" spans="1:122" ht="14.25" customHeight="1" thickBot="1" x14ac:dyDescent="0.2">
      <c r="A155" s="416"/>
      <c r="B155" s="16">
        <v>48030</v>
      </c>
      <c r="C155" s="207">
        <f>'PV-Felder'!$I$8</f>
        <v>3593.8</v>
      </c>
      <c r="D155" s="351"/>
      <c r="E155" s="61">
        <v>0</v>
      </c>
      <c r="F155" s="351"/>
      <c r="G155" s="56" t="e">
        <f t="shared" ca="1" si="339"/>
        <v>#N/A</v>
      </c>
      <c r="H155" s="351"/>
      <c r="I155" s="61">
        <v>0</v>
      </c>
      <c r="J155" s="351"/>
      <c r="K155" s="61">
        <v>0</v>
      </c>
      <c r="L155" s="351"/>
      <c r="M155" s="65">
        <f t="shared" si="358"/>
        <v>0</v>
      </c>
      <c r="N155" s="373"/>
      <c r="O155" s="288"/>
      <c r="P155" s="288"/>
      <c r="Q155" s="286">
        <f t="shared" si="340"/>
        <v>0</v>
      </c>
      <c r="R155" s="334"/>
      <c r="S155" s="61">
        <v>0</v>
      </c>
      <c r="T155" s="376"/>
      <c r="U155" s="61">
        <v>0</v>
      </c>
      <c r="V155" s="342"/>
      <c r="W155" s="61">
        <v>0</v>
      </c>
      <c r="X155" s="342"/>
      <c r="Y155" s="211" t="e">
        <f t="shared" si="272"/>
        <v>#N/A</v>
      </c>
      <c r="Z155" s="370"/>
      <c r="AA155" s="61">
        <v>0</v>
      </c>
      <c r="AB155" s="351"/>
      <c r="AC155" s="61">
        <v>0</v>
      </c>
      <c r="AD155" s="351"/>
      <c r="AE155" s="73" t="e">
        <f t="shared" si="303"/>
        <v>#N/A</v>
      </c>
      <c r="AF155" s="356"/>
      <c r="AG155" s="73" t="e">
        <f t="shared" si="304"/>
        <v>#N/A</v>
      </c>
      <c r="AH155" s="356"/>
      <c r="AI155" s="221">
        <f t="shared" si="408"/>
        <v>29.26</v>
      </c>
      <c r="AJ155" s="78">
        <f t="shared" ref="AJ155:AP155" si="419">AJ154</f>
        <v>0.26750000000000002</v>
      </c>
      <c r="AK155" s="79">
        <f t="shared" si="419"/>
        <v>9.9166666666666661</v>
      </c>
      <c r="AL155" s="80">
        <f t="shared" si="419"/>
        <v>187</v>
      </c>
      <c r="AM155" s="78">
        <f t="shared" si="419"/>
        <v>9.737942583732058E-2</v>
      </c>
      <c r="AN155" s="80">
        <f t="shared" si="419"/>
        <v>143</v>
      </c>
      <c r="AO155" s="78">
        <f t="shared" si="419"/>
        <v>0.21099999999999999</v>
      </c>
      <c r="AP155" s="88">
        <f t="shared" si="419"/>
        <v>12</v>
      </c>
      <c r="AQ155" s="64">
        <f t="shared" si="364"/>
        <v>21.5</v>
      </c>
      <c r="AR155" s="64">
        <f t="shared" si="365"/>
        <v>11.5</v>
      </c>
      <c r="AS155" s="88">
        <f t="shared" si="366"/>
        <v>1.1830000000000001</v>
      </c>
      <c r="AT155" s="91">
        <f t="shared" ref="AT155:AT218" si="420">AT154</f>
        <v>283</v>
      </c>
      <c r="AU155" s="94"/>
      <c r="AV155" s="95"/>
      <c r="AW155" s="56">
        <f t="shared" si="342"/>
        <v>0</v>
      </c>
      <c r="AX155" s="351"/>
      <c r="AY155" s="100">
        <f t="shared" si="371"/>
        <v>9.9166666666666661</v>
      </c>
      <c r="AZ155" s="360"/>
      <c r="BA155" s="91">
        <f t="shared" si="400"/>
        <v>-1452.445880333335</v>
      </c>
      <c r="BB155" s="5">
        <f t="shared" si="306"/>
        <v>-9.9166666666666661</v>
      </c>
      <c r="BC155" s="363"/>
      <c r="BD155" s="91" t="e">
        <f t="shared" ca="1" si="343"/>
        <v>#N/A</v>
      </c>
      <c r="BE155" s="91" t="e">
        <f t="shared" ca="1" si="344"/>
        <v>#N/A</v>
      </c>
      <c r="BF155" s="91">
        <f t="shared" si="345"/>
        <v>31.833333333333329</v>
      </c>
      <c r="BG155" s="91" t="e">
        <f t="shared" ca="1" si="346"/>
        <v>#N/A</v>
      </c>
      <c r="BH155" s="91" t="e">
        <f t="shared" ca="1" si="392"/>
        <v>#N/A</v>
      </c>
      <c r="BI155" s="10" t="e">
        <f t="shared" ca="1" si="360"/>
        <v>#N/A</v>
      </c>
      <c r="BJ155" s="104">
        <f>((M155+Q155)*AJ155+AK155)+((U155-W155+W155/('Vergleich Holz Strom'!$B$8-0.6))*AO155+AP155)</f>
        <v>21.916666666666664</v>
      </c>
      <c r="BK155" s="10" t="e">
        <f t="shared" ca="1" si="307"/>
        <v>#N/A</v>
      </c>
      <c r="BL155" s="379"/>
      <c r="BM155" s="104" t="e">
        <f t="shared" ca="1" si="356"/>
        <v>#N/A</v>
      </c>
      <c r="BN155" s="40" t="e">
        <f ca="1">IF(ISNUMBER(BK155),BN154+SUMIF(BK146:BK157,"&lt;&gt;#NV",BK146:BK157)/COUNTIF(BK146:BK157,"&lt;&gt;#NV"),#N/A)</f>
        <v>#N/A</v>
      </c>
      <c r="BO155" s="10" t="e">
        <f ca="1">BK155+AT155+AU155</f>
        <v>#N/A</v>
      </c>
      <c r="BP155" s="104" t="e">
        <f t="shared" ca="1" si="308"/>
        <v>#N/A</v>
      </c>
      <c r="BQ155" s="104">
        <f t="shared" ca="1" si="319"/>
        <v>-60332.289926972328</v>
      </c>
      <c r="BR155" s="10">
        <f t="shared" si="347"/>
        <v>9.9166666666666661</v>
      </c>
      <c r="BS155" s="311"/>
      <c r="BT155" s="307"/>
      <c r="BU155" s="295">
        <f t="shared" si="348"/>
        <v>0</v>
      </c>
      <c r="BV155" s="323"/>
      <c r="BW155" s="299">
        <f t="shared" si="349"/>
        <v>0</v>
      </c>
      <c r="BX155" s="295">
        <f t="shared" si="350"/>
        <v>0</v>
      </c>
      <c r="BY155" s="382"/>
      <c r="BZ155" s="299">
        <f t="shared" si="357"/>
        <v>0</v>
      </c>
      <c r="CA155" s="295">
        <f t="shared" si="362"/>
        <v>0</v>
      </c>
      <c r="CB155" s="323"/>
      <c r="CC155" s="314">
        <f t="shared" si="410"/>
        <v>0</v>
      </c>
      <c r="CD155" s="326"/>
      <c r="CE155" s="299">
        <f t="shared" si="351"/>
        <v>0</v>
      </c>
      <c r="CF155" s="284">
        <f t="shared" si="411"/>
        <v>0</v>
      </c>
      <c r="CG155" s="323"/>
      <c r="CH155" s="302">
        <f t="shared" si="389"/>
        <v>0</v>
      </c>
      <c r="CI155" s="108">
        <f t="shared" si="352"/>
        <v>0</v>
      </c>
      <c r="CJ155" s="200">
        <f t="shared" si="353"/>
        <v>0</v>
      </c>
      <c r="CK155" s="197">
        <f t="shared" si="369"/>
        <v>0</v>
      </c>
      <c r="CL155" s="203">
        <f t="shared" si="354"/>
        <v>12</v>
      </c>
      <c r="CM155" s="4">
        <f>U155*Jahresdaten!$AD$2</f>
        <v>0</v>
      </c>
      <c r="CN155" s="112">
        <f>CJ155*Jahresdaten!$AD$2</f>
        <v>0</v>
      </c>
      <c r="CO155" s="366"/>
      <c r="CP155" s="116">
        <f>U155*Jahresdaten!$AD$3</f>
        <v>0</v>
      </c>
      <c r="CQ155" s="12">
        <f>CJ155*Jahresdaten!$AD$3</f>
        <v>0</v>
      </c>
      <c r="CR155" s="353"/>
      <c r="CS155" s="14"/>
      <c r="CT155" s="136"/>
      <c r="CU155" s="140" t="str">
        <f>IF(CT155=0,"",CT155*'Vergleich Holz Strom'!$B$2)</f>
        <v/>
      </c>
      <c r="CV155" s="353"/>
      <c r="CW155" s="366"/>
      <c r="CX155" s="345"/>
      <c r="CY155" s="345"/>
      <c r="CZ155" s="345"/>
      <c r="DA155" s="348"/>
      <c r="DB155" s="94"/>
      <c r="DC155" s="88">
        <f t="shared" si="281"/>
        <v>25163.344666666628</v>
      </c>
      <c r="DD155" s="94"/>
      <c r="DE155" s="88">
        <f t="shared" si="284"/>
        <v>-19415.112547000001</v>
      </c>
      <c r="DF155" s="100" t="e">
        <f ca="1">BE155+(SUM(CS146:CS157)/12)</f>
        <v>#N/A</v>
      </c>
      <c r="DG155" s="351"/>
      <c r="DH155" s="8">
        <f t="shared" si="401"/>
        <v>0</v>
      </c>
      <c r="DI155" s="123">
        <f t="shared" si="309"/>
        <v>18250</v>
      </c>
      <c r="DJ155" s="2">
        <f t="shared" si="402"/>
        <v>0</v>
      </c>
      <c r="DK155" s="127">
        <f>DK157/12*10</f>
        <v>6500</v>
      </c>
      <c r="DL155" s="2">
        <f t="shared" si="403"/>
        <v>650</v>
      </c>
      <c r="DM155" s="130">
        <f t="shared" si="404"/>
        <v>0</v>
      </c>
      <c r="DN155" s="3">
        <f>DN157/12*10</f>
        <v>2500</v>
      </c>
      <c r="DO155" s="130">
        <f t="shared" si="405"/>
        <v>250</v>
      </c>
      <c r="DP155" s="4">
        <f t="shared" si="406"/>
        <v>0</v>
      </c>
      <c r="DQ155" s="116">
        <f t="shared" si="407"/>
        <v>9250</v>
      </c>
      <c r="DR155" s="116">
        <f t="shared" si="412"/>
        <v>150</v>
      </c>
    </row>
    <row r="156" spans="1:122" ht="14.25" customHeight="1" thickBot="1" x14ac:dyDescent="0.2">
      <c r="A156" s="416"/>
      <c r="B156" s="16">
        <v>48061</v>
      </c>
      <c r="C156" s="207">
        <f>'PV-Felder'!$I$9</f>
        <v>3065.7</v>
      </c>
      <c r="D156" s="351"/>
      <c r="E156" s="61">
        <v>0</v>
      </c>
      <c r="F156" s="351"/>
      <c r="G156" s="56" t="e">
        <f t="shared" ca="1" si="339"/>
        <v>#N/A</v>
      </c>
      <c r="H156" s="351"/>
      <c r="I156" s="61">
        <v>0</v>
      </c>
      <c r="J156" s="351"/>
      <c r="K156" s="61">
        <v>0</v>
      </c>
      <c r="L156" s="351"/>
      <c r="M156" s="65">
        <f t="shared" si="358"/>
        <v>0</v>
      </c>
      <c r="N156" s="373"/>
      <c r="O156" s="288"/>
      <c r="P156" s="288"/>
      <c r="Q156" s="286">
        <f t="shared" si="340"/>
        <v>0</v>
      </c>
      <c r="R156" s="334"/>
      <c r="S156" s="61">
        <v>0</v>
      </c>
      <c r="T156" s="376"/>
      <c r="U156" s="61">
        <v>0</v>
      </c>
      <c r="V156" s="342"/>
      <c r="W156" s="61">
        <v>0</v>
      </c>
      <c r="X156" s="342"/>
      <c r="Y156" s="211" t="e">
        <f t="shared" si="272"/>
        <v>#N/A</v>
      </c>
      <c r="Z156" s="370"/>
      <c r="AA156" s="61">
        <v>0</v>
      </c>
      <c r="AB156" s="351"/>
      <c r="AC156" s="61">
        <v>0</v>
      </c>
      <c r="AD156" s="351"/>
      <c r="AE156" s="73" t="e">
        <f t="shared" si="303"/>
        <v>#N/A</v>
      </c>
      <c r="AF156" s="356"/>
      <c r="AG156" s="73" t="e">
        <f t="shared" si="304"/>
        <v>#N/A</v>
      </c>
      <c r="AH156" s="356"/>
      <c r="AI156" s="221">
        <f t="shared" si="408"/>
        <v>29.26</v>
      </c>
      <c r="AJ156" s="78">
        <f t="shared" ref="AJ156:AP156" si="421">AJ155</f>
        <v>0.26750000000000002</v>
      </c>
      <c r="AK156" s="79">
        <f t="shared" si="421"/>
        <v>9.9166666666666661</v>
      </c>
      <c r="AL156" s="80">
        <f t="shared" si="421"/>
        <v>187</v>
      </c>
      <c r="AM156" s="78">
        <f t="shared" si="421"/>
        <v>9.737942583732058E-2</v>
      </c>
      <c r="AN156" s="80">
        <f t="shared" si="421"/>
        <v>143</v>
      </c>
      <c r="AO156" s="78">
        <f t="shared" si="421"/>
        <v>0.21099999999999999</v>
      </c>
      <c r="AP156" s="88">
        <f t="shared" si="421"/>
        <v>12</v>
      </c>
      <c r="AQ156" s="64">
        <f t="shared" si="364"/>
        <v>21.5</v>
      </c>
      <c r="AR156" s="64">
        <f t="shared" si="365"/>
        <v>11.5</v>
      </c>
      <c r="AS156" s="88">
        <f t="shared" si="366"/>
        <v>1.1830000000000001</v>
      </c>
      <c r="AT156" s="91">
        <f t="shared" si="420"/>
        <v>283</v>
      </c>
      <c r="AU156" s="94"/>
      <c r="AV156" s="95"/>
      <c r="AW156" s="56">
        <f t="shared" si="342"/>
        <v>0</v>
      </c>
      <c r="AX156" s="351"/>
      <c r="AY156" s="100">
        <f t="shared" si="371"/>
        <v>9.9166666666666661</v>
      </c>
      <c r="AZ156" s="360"/>
      <c r="BA156" s="91">
        <f t="shared" si="400"/>
        <v>-1462.3625470000018</v>
      </c>
      <c r="BB156" s="5">
        <f t="shared" si="306"/>
        <v>-9.9166666666666661</v>
      </c>
      <c r="BC156" s="363"/>
      <c r="BD156" s="91" t="e">
        <f t="shared" ca="1" si="343"/>
        <v>#N/A</v>
      </c>
      <c r="BE156" s="91" t="e">
        <f t="shared" ca="1" si="344"/>
        <v>#N/A</v>
      </c>
      <c r="BF156" s="91">
        <f t="shared" si="345"/>
        <v>31.833333333333329</v>
      </c>
      <c r="BG156" s="91" t="e">
        <f t="shared" ca="1" si="346"/>
        <v>#N/A</v>
      </c>
      <c r="BH156" s="91" t="e">
        <f t="shared" ca="1" si="392"/>
        <v>#N/A</v>
      </c>
      <c r="BI156" s="10" t="e">
        <f t="shared" ca="1" si="360"/>
        <v>#N/A</v>
      </c>
      <c r="BJ156" s="104">
        <f>((M156+Q156)*AJ156+AK156)+((U156-W156+W156/('Vergleich Holz Strom'!$B$8-0.6))*AO156+AP156)</f>
        <v>21.916666666666664</v>
      </c>
      <c r="BK156" s="10" t="e">
        <f t="shared" ca="1" si="307"/>
        <v>#N/A</v>
      </c>
      <c r="BL156" s="379"/>
      <c r="BM156" s="104" t="e">
        <f t="shared" ca="1" si="356"/>
        <v>#N/A</v>
      </c>
      <c r="BN156" s="40" t="e">
        <f ca="1">IF(ISNUMBER(BK156),BN155+SUMIF(BK146:BK157,"&lt;&gt;#NV",BK146:BK157)/COUNTIF(BK146:BK157,"&lt;&gt;#NV"),#N/A)</f>
        <v>#N/A</v>
      </c>
      <c r="BO156" s="10" t="e">
        <f t="shared" ref="BO156:BO166" ca="1" si="422">BK156+AT156+AU156</f>
        <v>#N/A</v>
      </c>
      <c r="BP156" s="104" t="e">
        <f t="shared" ca="1" si="308"/>
        <v>#N/A</v>
      </c>
      <c r="BQ156" s="104">
        <f t="shared" ca="1" si="319"/>
        <v>-60316.101723954496</v>
      </c>
      <c r="BR156" s="10">
        <f t="shared" si="347"/>
        <v>9.9166666666666661</v>
      </c>
      <c r="BS156" s="311"/>
      <c r="BT156" s="307"/>
      <c r="BU156" s="295">
        <f t="shared" si="348"/>
        <v>0</v>
      </c>
      <c r="BV156" s="323"/>
      <c r="BW156" s="299">
        <f t="shared" si="349"/>
        <v>0</v>
      </c>
      <c r="BX156" s="295">
        <f t="shared" si="350"/>
        <v>0</v>
      </c>
      <c r="BY156" s="382"/>
      <c r="BZ156" s="299">
        <f t="shared" si="357"/>
        <v>0</v>
      </c>
      <c r="CA156" s="295">
        <f t="shared" si="362"/>
        <v>0</v>
      </c>
      <c r="CB156" s="323"/>
      <c r="CC156" s="314">
        <f t="shared" si="410"/>
        <v>0</v>
      </c>
      <c r="CD156" s="326"/>
      <c r="CE156" s="299">
        <f t="shared" si="351"/>
        <v>0</v>
      </c>
      <c r="CF156" s="284">
        <f t="shared" si="411"/>
        <v>0</v>
      </c>
      <c r="CG156" s="323"/>
      <c r="CH156" s="302">
        <f t="shared" si="389"/>
        <v>0</v>
      </c>
      <c r="CI156" s="108">
        <f t="shared" si="352"/>
        <v>0</v>
      </c>
      <c r="CJ156" s="200">
        <f t="shared" si="353"/>
        <v>0</v>
      </c>
      <c r="CK156" s="197">
        <f t="shared" si="369"/>
        <v>0</v>
      </c>
      <c r="CL156" s="203">
        <f t="shared" si="354"/>
        <v>12</v>
      </c>
      <c r="CM156" s="4">
        <f>U156*Jahresdaten!$AD$2</f>
        <v>0</v>
      </c>
      <c r="CN156" s="112">
        <f>CJ156*Jahresdaten!$AD$2</f>
        <v>0</v>
      </c>
      <c r="CO156" s="366"/>
      <c r="CP156" s="116">
        <f>U156*Jahresdaten!$AD$3</f>
        <v>0</v>
      </c>
      <c r="CQ156" s="12">
        <f>CJ156*Jahresdaten!$AD$3</f>
        <v>0</v>
      </c>
      <c r="CR156" s="353"/>
      <c r="CS156" s="14"/>
      <c r="CT156" s="136"/>
      <c r="CU156" s="140" t="str">
        <f>IF(CT156=0,"",CT156*'Vergleich Holz Strom'!$B$2)</f>
        <v/>
      </c>
      <c r="CV156" s="353"/>
      <c r="CW156" s="366"/>
      <c r="CX156" s="345"/>
      <c r="CY156" s="345"/>
      <c r="CZ156" s="345"/>
      <c r="DA156" s="348"/>
      <c r="DB156" s="94"/>
      <c r="DC156" s="88">
        <f t="shared" si="281"/>
        <v>25340.42799999996</v>
      </c>
      <c r="DD156" s="94"/>
      <c r="DE156" s="88">
        <f t="shared" si="284"/>
        <v>-19558.112547000001</v>
      </c>
      <c r="DF156" s="100" t="e">
        <f ca="1">BE156+(SUM(CS146:CS157)/12)</f>
        <v>#N/A</v>
      </c>
      <c r="DG156" s="351"/>
      <c r="DH156" s="8">
        <f t="shared" si="401"/>
        <v>0</v>
      </c>
      <c r="DI156" s="123">
        <f t="shared" si="309"/>
        <v>19300</v>
      </c>
      <c r="DJ156" s="2">
        <f t="shared" si="402"/>
        <v>0</v>
      </c>
      <c r="DK156" s="127">
        <f>DK157/12*11</f>
        <v>7150</v>
      </c>
      <c r="DL156" s="2">
        <f t="shared" si="403"/>
        <v>650</v>
      </c>
      <c r="DM156" s="130">
        <f t="shared" si="404"/>
        <v>0</v>
      </c>
      <c r="DN156" s="3">
        <f>DN157/12*11</f>
        <v>2750</v>
      </c>
      <c r="DO156" s="130">
        <f t="shared" si="405"/>
        <v>250</v>
      </c>
      <c r="DP156" s="4">
        <f t="shared" si="406"/>
        <v>0</v>
      </c>
      <c r="DQ156" s="116">
        <f t="shared" si="407"/>
        <v>9400</v>
      </c>
      <c r="DR156" s="116">
        <f t="shared" si="412"/>
        <v>150</v>
      </c>
    </row>
    <row r="157" spans="1:122" s="28" customFormat="1" ht="15" customHeight="1" thickBot="1" x14ac:dyDescent="0.2">
      <c r="A157" s="417"/>
      <c r="B157" s="18">
        <v>48092</v>
      </c>
      <c r="C157" s="208">
        <f>'PV-Felder'!$I$10</f>
        <v>2246.7000000000003</v>
      </c>
      <c r="D157" s="352"/>
      <c r="E157" s="63">
        <v>0</v>
      </c>
      <c r="F157" s="352"/>
      <c r="G157" s="57" t="e">
        <f t="shared" ca="1" si="339"/>
        <v>#N/A</v>
      </c>
      <c r="H157" s="352"/>
      <c r="I157" s="63">
        <v>0</v>
      </c>
      <c r="J157" s="352"/>
      <c r="K157" s="63">
        <v>0</v>
      </c>
      <c r="L157" s="352"/>
      <c r="M157" s="67">
        <f t="shared" si="358"/>
        <v>0</v>
      </c>
      <c r="N157" s="374"/>
      <c r="O157" s="290"/>
      <c r="P157" s="290"/>
      <c r="Q157" s="289">
        <f t="shared" si="340"/>
        <v>0</v>
      </c>
      <c r="R157" s="334"/>
      <c r="S157" s="63">
        <v>0</v>
      </c>
      <c r="T157" s="377"/>
      <c r="U157" s="63">
        <v>0</v>
      </c>
      <c r="V157" s="343"/>
      <c r="W157" s="63">
        <v>0</v>
      </c>
      <c r="X157" s="343"/>
      <c r="Y157" s="213" t="e">
        <f t="shared" si="272"/>
        <v>#N/A</v>
      </c>
      <c r="Z157" s="371"/>
      <c r="AA157" s="63">
        <v>0</v>
      </c>
      <c r="AB157" s="352"/>
      <c r="AC157" s="63">
        <v>0</v>
      </c>
      <c r="AD157" s="352"/>
      <c r="AE157" s="75" t="e">
        <f t="shared" si="303"/>
        <v>#N/A</v>
      </c>
      <c r="AF157" s="357"/>
      <c r="AG157" s="75" t="e">
        <f t="shared" si="304"/>
        <v>#N/A</v>
      </c>
      <c r="AH157" s="357"/>
      <c r="AI157" s="223">
        <f>AI156</f>
        <v>29.26</v>
      </c>
      <c r="AJ157" s="83">
        <f t="shared" ref="AJ157:AP157" si="423">AJ156</f>
        <v>0.26750000000000002</v>
      </c>
      <c r="AK157" s="21">
        <f t="shared" si="423"/>
        <v>9.9166666666666661</v>
      </c>
      <c r="AL157" s="84">
        <f t="shared" si="423"/>
        <v>187</v>
      </c>
      <c r="AM157" s="83">
        <f t="shared" si="423"/>
        <v>9.737942583732058E-2</v>
      </c>
      <c r="AN157" s="84">
        <f t="shared" si="423"/>
        <v>143</v>
      </c>
      <c r="AO157" s="83">
        <f t="shared" si="423"/>
        <v>0.21099999999999999</v>
      </c>
      <c r="AP157" s="90">
        <f t="shared" si="423"/>
        <v>12</v>
      </c>
      <c r="AQ157" s="125">
        <f t="shared" si="364"/>
        <v>21.5</v>
      </c>
      <c r="AR157" s="125">
        <f t="shared" si="365"/>
        <v>11.5</v>
      </c>
      <c r="AS157" s="92">
        <f t="shared" si="366"/>
        <v>1.1830000000000001</v>
      </c>
      <c r="AT157" s="92">
        <f t="shared" si="420"/>
        <v>283</v>
      </c>
      <c r="AU157" s="98"/>
      <c r="AV157" s="99"/>
      <c r="AW157" s="57">
        <f t="shared" si="342"/>
        <v>0</v>
      </c>
      <c r="AX157" s="352"/>
      <c r="AY157" s="102">
        <f t="shared" si="371"/>
        <v>9.9166666666666661</v>
      </c>
      <c r="AZ157" s="361"/>
      <c r="BA157" s="92">
        <f t="shared" si="400"/>
        <v>-1472.2792136666685</v>
      </c>
      <c r="BB157" s="22">
        <f t="shared" si="306"/>
        <v>-9.9166666666666661</v>
      </c>
      <c r="BC157" s="364"/>
      <c r="BD157" s="92" t="e">
        <f t="shared" ca="1" si="343"/>
        <v>#N/A</v>
      </c>
      <c r="BE157" s="92" t="e">
        <f t="shared" ca="1" si="344"/>
        <v>#N/A</v>
      </c>
      <c r="BF157" s="92">
        <f t="shared" si="345"/>
        <v>31.833333333333329</v>
      </c>
      <c r="BG157" s="92" t="e">
        <f t="shared" ca="1" si="346"/>
        <v>#N/A</v>
      </c>
      <c r="BH157" s="92" t="e">
        <f t="shared" ca="1" si="392"/>
        <v>#N/A</v>
      </c>
      <c r="BI157" s="24" t="e">
        <f t="shared" ca="1" si="360"/>
        <v>#N/A</v>
      </c>
      <c r="BJ157" s="106">
        <f>((M157+Q157)*AJ157+AK157)+((U157-W157+W157/('Vergleich Holz Strom'!$B$8-0.6))*AO157+AP157)</f>
        <v>21.916666666666664</v>
      </c>
      <c r="BK157" s="24" t="e">
        <f t="shared" ca="1" si="307"/>
        <v>#N/A</v>
      </c>
      <c r="BL157" s="380"/>
      <c r="BM157" s="106" t="e">
        <f t="shared" ca="1" si="356"/>
        <v>#N/A</v>
      </c>
      <c r="BN157" s="226" t="e">
        <f ca="1">IF(ISNUMBER(BK157),BN156+SUMIF(BK146:BK157,"&lt;&gt;#NV",BK146:BK157)/COUNTIF(BK146:BK157,"&lt;&gt;#NV"),#N/A)</f>
        <v>#N/A</v>
      </c>
      <c r="BO157" s="318" t="e">
        <f t="shared" ca="1" si="422"/>
        <v>#N/A</v>
      </c>
      <c r="BP157" s="106" t="e">
        <f t="shared" ca="1" si="308"/>
        <v>#N/A</v>
      </c>
      <c r="BQ157" s="106">
        <f t="shared" ca="1" si="319"/>
        <v>-60299.913520936665</v>
      </c>
      <c r="BR157" s="24">
        <f t="shared" si="347"/>
        <v>9.9166666666666661</v>
      </c>
      <c r="BS157" s="312"/>
      <c r="BT157" s="308"/>
      <c r="BU157" s="296">
        <f t="shared" si="348"/>
        <v>0</v>
      </c>
      <c r="BV157" s="324"/>
      <c r="BW157" s="292">
        <f t="shared" si="349"/>
        <v>0</v>
      </c>
      <c r="BX157" s="295">
        <f t="shared" si="350"/>
        <v>0</v>
      </c>
      <c r="BY157" s="382"/>
      <c r="BZ157" s="299">
        <f t="shared" si="357"/>
        <v>0</v>
      </c>
      <c r="CA157" s="296">
        <f t="shared" si="362"/>
        <v>0</v>
      </c>
      <c r="CB157" s="324"/>
      <c r="CC157" s="315">
        <f t="shared" si="410"/>
        <v>0</v>
      </c>
      <c r="CD157" s="327"/>
      <c r="CE157" s="292">
        <f t="shared" si="351"/>
        <v>0</v>
      </c>
      <c r="CF157" s="296">
        <f t="shared" si="411"/>
        <v>0</v>
      </c>
      <c r="CG157" s="324"/>
      <c r="CH157" s="303">
        <f t="shared" si="389"/>
        <v>0</v>
      </c>
      <c r="CI157" s="110">
        <f t="shared" si="352"/>
        <v>0</v>
      </c>
      <c r="CJ157" s="200">
        <f t="shared" si="353"/>
        <v>0</v>
      </c>
      <c r="CK157" s="25">
        <f t="shared" si="369"/>
        <v>0</v>
      </c>
      <c r="CL157" s="204">
        <f t="shared" si="354"/>
        <v>12</v>
      </c>
      <c r="CM157" s="26">
        <f>U157*Jahresdaten!$AD$2</f>
        <v>0</v>
      </c>
      <c r="CN157" s="114">
        <f>CJ157*Jahresdaten!$AD$2</f>
        <v>0</v>
      </c>
      <c r="CO157" s="346"/>
      <c r="CP157" s="118">
        <f>U157*Jahresdaten!$AD$3</f>
        <v>0</v>
      </c>
      <c r="CQ157" s="25">
        <f>CJ157*Jahresdaten!$AD$3</f>
        <v>0</v>
      </c>
      <c r="CR157" s="354"/>
      <c r="CS157" s="23"/>
      <c r="CT157" s="138"/>
      <c r="CU157" s="141" t="str">
        <f>IF(CT157=0,"",CT157*'Vergleich Holz Strom'!$B$2)</f>
        <v/>
      </c>
      <c r="CV157" s="354"/>
      <c r="CW157" s="346"/>
      <c r="CX157" s="346"/>
      <c r="CY157" s="346"/>
      <c r="CZ157" s="346"/>
      <c r="DA157" s="349"/>
      <c r="DB157" s="98"/>
      <c r="DC157" s="90">
        <f t="shared" si="281"/>
        <v>25517.511333333292</v>
      </c>
      <c r="DD157" s="98"/>
      <c r="DE157" s="90">
        <f t="shared" si="284"/>
        <v>-19701.112547000001</v>
      </c>
      <c r="DF157" s="102" t="e">
        <f ca="1">BE157+(SUM(CS146:CS157)/12)</f>
        <v>#N/A</v>
      </c>
      <c r="DG157" s="352"/>
      <c r="DH157" s="19">
        <f t="shared" si="401"/>
        <v>0</v>
      </c>
      <c r="DI157" s="125">
        <f t="shared" si="309"/>
        <v>20800</v>
      </c>
      <c r="DJ157" s="20">
        <f t="shared" si="402"/>
        <v>0</v>
      </c>
      <c r="DK157" s="129">
        <f>DK145</f>
        <v>7800</v>
      </c>
      <c r="DL157" s="20">
        <f t="shared" si="403"/>
        <v>650</v>
      </c>
      <c r="DM157" s="132">
        <f t="shared" si="404"/>
        <v>0</v>
      </c>
      <c r="DN157" s="27">
        <f>DN145</f>
        <v>3000</v>
      </c>
      <c r="DO157" s="132">
        <f t="shared" si="405"/>
        <v>250</v>
      </c>
      <c r="DP157" s="26">
        <f t="shared" si="406"/>
        <v>0</v>
      </c>
      <c r="DQ157" s="118">
        <f>DQ145</f>
        <v>10000</v>
      </c>
      <c r="DR157" s="118">
        <f>DR145</f>
        <v>600</v>
      </c>
    </row>
    <row r="158" spans="1:122" ht="15" customHeight="1" thickBot="1" x14ac:dyDescent="0.2">
      <c r="A158" s="415" t="s">
        <v>171</v>
      </c>
      <c r="B158" s="16">
        <v>48122</v>
      </c>
      <c r="C158" s="207">
        <f>'PV-Felder'!$I$11</f>
        <v>1416.7</v>
      </c>
      <c r="D158" s="358">
        <f>SUMIF(E158:E169,"&gt;0",C158:C169)</f>
        <v>0</v>
      </c>
      <c r="E158" s="61">
        <v>0</v>
      </c>
      <c r="F158" s="368">
        <f>SUM(E158:E169)</f>
        <v>0</v>
      </c>
      <c r="G158" s="58" t="e">
        <f t="shared" ca="1" si="339"/>
        <v>#N/A</v>
      </c>
      <c r="H158" s="358" t="e">
        <f ca="1">IF(TODAY()&lt;B158,#N/A,F158-D158)</f>
        <v>#N/A</v>
      </c>
      <c r="I158" s="61">
        <v>0</v>
      </c>
      <c r="J158" s="368">
        <f>SUM(I158:I169)</f>
        <v>0</v>
      </c>
      <c r="K158" s="61">
        <v>0</v>
      </c>
      <c r="L158" s="368">
        <f>SUM(K158:K169)</f>
        <v>0</v>
      </c>
      <c r="M158" s="66">
        <f t="shared" si="358"/>
        <v>0</v>
      </c>
      <c r="N158" s="372">
        <f>SUM(M158:M169)</f>
        <v>0</v>
      </c>
      <c r="Q158" s="287">
        <f t="shared" si="340"/>
        <v>0</v>
      </c>
      <c r="R158" s="333">
        <f>SUM(Q158:Q169)</f>
        <v>0</v>
      </c>
      <c r="S158" s="61">
        <v>0</v>
      </c>
      <c r="T158" s="375">
        <f>SUM(S158:S169)</f>
        <v>0</v>
      </c>
      <c r="U158" s="61">
        <v>0</v>
      </c>
      <c r="V158" s="341">
        <f>SUM(U158:U169)</f>
        <v>0</v>
      </c>
      <c r="W158" s="61">
        <v>0</v>
      </c>
      <c r="X158" s="341">
        <f>SUM(W158:W169)</f>
        <v>0</v>
      </c>
      <c r="Y158" s="211" t="e">
        <f t="shared" si="272"/>
        <v>#N/A</v>
      </c>
      <c r="Z158" s="369">
        <f>N158+T158+V158</f>
        <v>0</v>
      </c>
      <c r="AA158" s="62">
        <v>0</v>
      </c>
      <c r="AB158" s="368">
        <f>SUM(AA158:AA169)</f>
        <v>0</v>
      </c>
      <c r="AC158" s="62">
        <v>0</v>
      </c>
      <c r="AD158" s="368">
        <f>SUM(AC158:AC169)</f>
        <v>0</v>
      </c>
      <c r="AE158" s="74" t="e">
        <f t="shared" si="303"/>
        <v>#N/A</v>
      </c>
      <c r="AF158" s="355" t="e">
        <f>IF(SUMIF(AE158:AE169,"&gt;0")&gt;0,SUMIF(AE158:AE169,"&gt;0")/COUNTIF(AE158:AE169,"&gt;0"),#N/A)</f>
        <v>#N/A</v>
      </c>
      <c r="AG158" s="73" t="e">
        <f t="shared" si="304"/>
        <v>#N/A</v>
      </c>
      <c r="AH158" s="355" t="e">
        <f>IF(SUMIF(AG158:AG169,"&gt;0")&gt;0,SUMIF(AG158:AG169,"&gt;0")/COUNTIF(AG158:AG169,"&gt;0"),#N/A)</f>
        <v>#N/A</v>
      </c>
      <c r="AI158" s="222">
        <f>AI157</f>
        <v>29.26</v>
      </c>
      <c r="AJ158" s="78">
        <f t="shared" ref="AJ158:AP158" si="424">AJ157</f>
        <v>0.26750000000000002</v>
      </c>
      <c r="AK158" s="79">
        <f t="shared" si="424"/>
        <v>9.9166666666666661</v>
      </c>
      <c r="AL158" s="80">
        <f t="shared" si="424"/>
        <v>187</v>
      </c>
      <c r="AM158" s="78">
        <f t="shared" si="424"/>
        <v>9.737942583732058E-2</v>
      </c>
      <c r="AN158" s="80">
        <f t="shared" si="424"/>
        <v>143</v>
      </c>
      <c r="AO158" s="78">
        <f t="shared" si="424"/>
        <v>0.21099999999999999</v>
      </c>
      <c r="AP158" s="88">
        <f t="shared" si="424"/>
        <v>12</v>
      </c>
      <c r="AQ158" s="64">
        <f t="shared" si="364"/>
        <v>21.5</v>
      </c>
      <c r="AR158" s="64">
        <f t="shared" si="365"/>
        <v>11.5</v>
      </c>
      <c r="AS158" s="88">
        <f t="shared" si="366"/>
        <v>1.1830000000000001</v>
      </c>
      <c r="AT158" s="91">
        <f t="shared" si="420"/>
        <v>283</v>
      </c>
      <c r="AU158" s="94"/>
      <c r="AV158" s="95"/>
      <c r="AW158" s="56">
        <f t="shared" si="342"/>
        <v>0</v>
      </c>
      <c r="AX158" s="358">
        <f>SUM(AW158:AW169)</f>
        <v>0</v>
      </c>
      <c r="AY158" s="100">
        <f t="shared" si="371"/>
        <v>9.9166666666666661</v>
      </c>
      <c r="AZ158" s="359">
        <f>SUM(AY158:AY169)</f>
        <v>119.00000000000001</v>
      </c>
      <c r="BA158" s="103">
        <f>BA157-AY158</f>
        <v>-1482.1958803333353</v>
      </c>
      <c r="BB158" s="5">
        <f t="shared" si="306"/>
        <v>-9.9166666666666661</v>
      </c>
      <c r="BC158" s="362">
        <f>SUM(AY158:AY169)/12</f>
        <v>9.9166666666666679</v>
      </c>
      <c r="BD158" s="91" t="e">
        <f t="shared" ca="1" si="343"/>
        <v>#N/A</v>
      </c>
      <c r="BE158" s="91" t="e">
        <f t="shared" ca="1" si="344"/>
        <v>#N/A</v>
      </c>
      <c r="BF158" s="91">
        <f t="shared" si="345"/>
        <v>31.833333333333329</v>
      </c>
      <c r="BG158" s="91" t="e">
        <f t="shared" ca="1" si="346"/>
        <v>#N/A</v>
      </c>
      <c r="BH158" s="91" t="e">
        <f t="shared" ca="1" si="392"/>
        <v>#N/A</v>
      </c>
      <c r="BI158" s="10" t="e">
        <f t="shared" ca="1" si="360"/>
        <v>#N/A</v>
      </c>
      <c r="BJ158" s="104">
        <f>((M158+Q158)*AJ158+AK158)+((U158-W158+W158/('Vergleich Holz Strom'!$B$8-0.6))*AO158+AP158)</f>
        <v>21.916666666666664</v>
      </c>
      <c r="BK158" s="10" t="e">
        <f t="shared" ca="1" si="307"/>
        <v>#N/A</v>
      </c>
      <c r="BL158" s="378">
        <f ca="1">SUMIF(BK158:BK169,"&lt;&gt;#NV",BK158:BK169)</f>
        <v>0</v>
      </c>
      <c r="BM158" s="104" t="e">
        <f t="shared" ca="1" si="356"/>
        <v>#N/A</v>
      </c>
      <c r="BN158" s="40" t="e">
        <f ca="1">IF(ISNUMBER(BK158),BN157+SUMIF(BK158:BK169,"&lt;&gt;#NV",BK158:BK169)/COUNTIF(BK158:BK169,"&lt;&gt;#NV"),#N/A)</f>
        <v>#N/A</v>
      </c>
      <c r="BO158" s="10" t="e">
        <f t="shared" ca="1" si="422"/>
        <v>#N/A</v>
      </c>
      <c r="BP158" s="105" t="e">
        <f t="shared" ca="1" si="308"/>
        <v>#N/A</v>
      </c>
      <c r="BQ158" s="104">
        <f t="shared" ca="1" si="319"/>
        <v>-60287.913520936665</v>
      </c>
      <c r="BR158" s="10">
        <f t="shared" si="347"/>
        <v>9.9166666666666661</v>
      </c>
      <c r="BS158" s="311"/>
      <c r="BT158" s="307"/>
      <c r="BU158" s="295">
        <f t="shared" si="348"/>
        <v>0</v>
      </c>
      <c r="BV158" s="322">
        <f>SUM(BU158:BU169)</f>
        <v>0</v>
      </c>
      <c r="BW158" s="300">
        <f t="shared" si="349"/>
        <v>0</v>
      </c>
      <c r="BX158" s="305">
        <f t="shared" si="350"/>
        <v>0</v>
      </c>
      <c r="BY158" s="381">
        <f>SUM(BX158:BX169)</f>
        <v>0</v>
      </c>
      <c r="BZ158" s="300">
        <f t="shared" si="357"/>
        <v>0</v>
      </c>
      <c r="CA158" s="295">
        <f t="shared" si="362"/>
        <v>0</v>
      </c>
      <c r="CB158" s="322">
        <f>SUM(CA158:CA169)</f>
        <v>0</v>
      </c>
      <c r="CC158" s="314">
        <f t="shared" si="410"/>
        <v>0</v>
      </c>
      <c r="CD158" s="325">
        <f>SUM(CC158:CC169)</f>
        <v>0</v>
      </c>
      <c r="CE158" s="299">
        <f t="shared" si="351"/>
        <v>0</v>
      </c>
      <c r="CF158" s="284">
        <f t="shared" si="411"/>
        <v>0</v>
      </c>
      <c r="CG158" s="328">
        <f>SUM(CF158:CF169)</f>
        <v>0</v>
      </c>
      <c r="CH158" s="302">
        <f t="shared" si="389"/>
        <v>0</v>
      </c>
      <c r="CI158" s="108">
        <f t="shared" si="352"/>
        <v>0</v>
      </c>
      <c r="CJ158" s="201">
        <f t="shared" si="353"/>
        <v>0</v>
      </c>
      <c r="CK158" s="197">
        <f t="shared" si="369"/>
        <v>0</v>
      </c>
      <c r="CL158" s="203">
        <f t="shared" si="354"/>
        <v>12</v>
      </c>
      <c r="CM158" s="4">
        <f>U158*Jahresdaten!$AD$2</f>
        <v>0</v>
      </c>
      <c r="CN158" s="112">
        <f>CJ158*Jahresdaten!$AD$2</f>
        <v>0</v>
      </c>
      <c r="CO158" s="365">
        <f>CW158*Jahresdaten!$AD$2</f>
        <v>856.59076092206669</v>
      </c>
      <c r="CP158" s="116">
        <f>U158*Jahresdaten!$AD$3</f>
        <v>0</v>
      </c>
      <c r="CQ158" s="12">
        <f>CJ158*Jahresdaten!$AD$3</f>
        <v>0</v>
      </c>
      <c r="CR158" s="367">
        <f>CW158*Jahresdaten!$AD$3</f>
        <v>312.40923907793319</v>
      </c>
      <c r="CS158" s="14">
        <f>CS146</f>
        <v>1169</v>
      </c>
      <c r="CT158" s="136">
        <f>CT146</f>
        <v>12</v>
      </c>
      <c r="CU158" s="140">
        <f>IF(CT158=0,"",CT158*'Vergleich Holz Strom'!$B$2)</f>
        <v>25800</v>
      </c>
      <c r="CV158" s="120" t="s">
        <v>7</v>
      </c>
      <c r="CW158" s="365">
        <f>CV159+CV165</f>
        <v>1169</v>
      </c>
      <c r="CX158" s="344">
        <f>SUM(CS158:CS169)/SUM(CU158:CU169)*(SUM(CU158:CU169)+(V158*('Vergleich Holz Strom'!$B$8-0.6)/'Vergleich Holz Strom'!$E$6))</f>
        <v>1169</v>
      </c>
      <c r="CY158" s="344">
        <f>SUM(CU158:CU169)*'Vergleich Holz Strom'!$E$6/('Vergleich Holz Strom'!$B$8-0.6)*(SUM(AJ158:AJ169)/12)+CV159</f>
        <v>1420.8970588235295</v>
      </c>
      <c r="CZ158" s="344">
        <f>SUM(CU158:CU169)*'Vergleich Holz Strom'!$E$6/('Vergleich Holz Strom'!$B$8-0.6)*SUM(AM158:AM169)/12+SUM(CK158:CK169)</f>
        <v>517.25659724176774</v>
      </c>
      <c r="DA158" s="347">
        <f>SUM(CU158:CU169)*'Vergleich Holz Strom'!$E$6/('Vergleich Holz Strom'!$B$8-0.6)*(SUM(AO158:AO169)/12)+SUM(CL158:CL169)</f>
        <v>1264.7823529411764</v>
      </c>
      <c r="DB158" s="94"/>
      <c r="DC158" s="88">
        <f t="shared" si="281"/>
        <v>25694.594666666624</v>
      </c>
      <c r="DD158" s="94"/>
      <c r="DE158" s="88">
        <f t="shared" si="284"/>
        <v>-19844.112547000001</v>
      </c>
      <c r="DF158" s="100" t="e">
        <f ca="1">BE158+(SUM(CS158:CS169)/12)</f>
        <v>#N/A</v>
      </c>
      <c r="DG158" s="350">
        <f ca="1">SUMIF(DF158:DF169,"&gt;0")</f>
        <v>0</v>
      </c>
      <c r="DH158" s="8">
        <f>M158+S158+U158</f>
        <v>0</v>
      </c>
      <c r="DI158" s="123">
        <f t="shared" si="309"/>
        <v>1850</v>
      </c>
      <c r="DJ158" s="2">
        <f>M158</f>
        <v>0</v>
      </c>
      <c r="DK158" s="127">
        <f>DK169/12*1</f>
        <v>650</v>
      </c>
      <c r="DL158" s="2">
        <f>DL157</f>
        <v>650</v>
      </c>
      <c r="DM158" s="130">
        <f>S158</f>
        <v>0</v>
      </c>
      <c r="DN158" s="3">
        <f>DN169/12*1</f>
        <v>250</v>
      </c>
      <c r="DO158" s="130">
        <f>DO157</f>
        <v>250</v>
      </c>
      <c r="DP158" s="4">
        <f>U158</f>
        <v>0</v>
      </c>
      <c r="DQ158" s="116">
        <f>DR158</f>
        <v>950</v>
      </c>
      <c r="DR158" s="116">
        <f>DR146</f>
        <v>950</v>
      </c>
    </row>
    <row r="159" spans="1:122" ht="14.25" customHeight="1" thickBot="1" x14ac:dyDescent="0.2">
      <c r="A159" s="416"/>
      <c r="B159" s="16">
        <v>48153</v>
      </c>
      <c r="C159" s="207">
        <f>'PV-Felder'!$I$12</f>
        <v>739.6</v>
      </c>
      <c r="D159" s="351"/>
      <c r="E159" s="61">
        <v>0</v>
      </c>
      <c r="F159" s="351"/>
      <c r="G159" s="56" t="e">
        <f t="shared" ca="1" si="339"/>
        <v>#N/A</v>
      </c>
      <c r="H159" s="351"/>
      <c r="I159" s="61">
        <v>0</v>
      </c>
      <c r="J159" s="351"/>
      <c r="K159" s="61">
        <v>0</v>
      </c>
      <c r="L159" s="351"/>
      <c r="M159" s="65">
        <f t="shared" si="358"/>
        <v>0</v>
      </c>
      <c r="N159" s="373"/>
      <c r="O159" s="288"/>
      <c r="P159" s="288"/>
      <c r="Q159" s="286">
        <f t="shared" si="340"/>
        <v>0</v>
      </c>
      <c r="R159" s="334"/>
      <c r="S159" s="61">
        <v>0</v>
      </c>
      <c r="T159" s="376"/>
      <c r="U159" s="61">
        <v>0</v>
      </c>
      <c r="V159" s="342"/>
      <c r="W159" s="61">
        <v>0</v>
      </c>
      <c r="X159" s="342"/>
      <c r="Y159" s="211" t="e">
        <f t="shared" si="272"/>
        <v>#N/A</v>
      </c>
      <c r="Z159" s="370"/>
      <c r="AA159" s="61">
        <v>0</v>
      </c>
      <c r="AB159" s="351"/>
      <c r="AC159" s="61">
        <v>0</v>
      </c>
      <c r="AD159" s="351"/>
      <c r="AE159" s="73" t="e">
        <f t="shared" si="303"/>
        <v>#N/A</v>
      </c>
      <c r="AF159" s="356"/>
      <c r="AG159" s="73" t="e">
        <f t="shared" si="304"/>
        <v>#N/A</v>
      </c>
      <c r="AH159" s="356"/>
      <c r="AI159" s="221">
        <f>AI158</f>
        <v>29.26</v>
      </c>
      <c r="AJ159" s="78">
        <f t="shared" ref="AJ159:AN159" si="425">AJ158</f>
        <v>0.26750000000000002</v>
      </c>
      <c r="AK159" s="79">
        <f t="shared" si="425"/>
        <v>9.9166666666666661</v>
      </c>
      <c r="AL159" s="80">
        <f t="shared" si="425"/>
        <v>187</v>
      </c>
      <c r="AM159" s="78">
        <f t="shared" si="425"/>
        <v>9.737942583732058E-2</v>
      </c>
      <c r="AN159" s="80">
        <f t="shared" si="425"/>
        <v>143</v>
      </c>
      <c r="AO159" s="78">
        <f>AO158</f>
        <v>0.21099999999999999</v>
      </c>
      <c r="AP159" s="88">
        <f>AP158</f>
        <v>12</v>
      </c>
      <c r="AQ159" s="64">
        <f t="shared" si="364"/>
        <v>21.5</v>
      </c>
      <c r="AR159" s="64">
        <f t="shared" si="365"/>
        <v>11.5</v>
      </c>
      <c r="AS159" s="88">
        <f t="shared" si="366"/>
        <v>1.1830000000000001</v>
      </c>
      <c r="AT159" s="91">
        <f t="shared" si="420"/>
        <v>283</v>
      </c>
      <c r="AU159" s="94"/>
      <c r="AV159" s="95"/>
      <c r="AW159" s="56">
        <f t="shared" si="342"/>
        <v>0</v>
      </c>
      <c r="AX159" s="351"/>
      <c r="AY159" s="100">
        <f t="shared" si="371"/>
        <v>9.9166666666666661</v>
      </c>
      <c r="AZ159" s="360"/>
      <c r="BA159" s="91">
        <f t="shared" ref="BA159:BA169" si="426">BA158-AY159</f>
        <v>-1492.112547000002</v>
      </c>
      <c r="BB159" s="5">
        <f t="shared" si="306"/>
        <v>-9.9166666666666661</v>
      </c>
      <c r="BC159" s="363"/>
      <c r="BD159" s="91" t="e">
        <f t="shared" ca="1" si="343"/>
        <v>#N/A</v>
      </c>
      <c r="BE159" s="91" t="e">
        <f t="shared" ca="1" si="344"/>
        <v>#N/A</v>
      </c>
      <c r="BF159" s="91">
        <f t="shared" si="345"/>
        <v>31.833333333333329</v>
      </c>
      <c r="BG159" s="91" t="e">
        <f t="shared" ca="1" si="346"/>
        <v>#N/A</v>
      </c>
      <c r="BH159" s="91" t="e">
        <f t="shared" ca="1" si="392"/>
        <v>#N/A</v>
      </c>
      <c r="BI159" s="10" t="e">
        <f t="shared" ca="1" si="360"/>
        <v>#N/A</v>
      </c>
      <c r="BJ159" s="104">
        <f>((M159+Q159)*AJ159+AK159)+((U159-W159+W159/('Vergleich Holz Strom'!$B$8-0.6))*AO159+AP159)</f>
        <v>21.916666666666664</v>
      </c>
      <c r="BK159" s="10" t="e">
        <f t="shared" ca="1" si="307"/>
        <v>#N/A</v>
      </c>
      <c r="BL159" s="379"/>
      <c r="BM159" s="104" t="e">
        <f t="shared" ca="1" si="356"/>
        <v>#N/A</v>
      </c>
      <c r="BN159" s="40" t="e">
        <f ca="1">IF(ISNUMBER(BK159),BN158+SUMIF(BK158:BK169,"&lt;&gt;#NV",BK158:BK169)/COUNTIF(BK158:BK169,"&lt;&gt;#NV"),#N/A)</f>
        <v>#N/A</v>
      </c>
      <c r="BO159" s="10" t="e">
        <f t="shared" ca="1" si="422"/>
        <v>#N/A</v>
      </c>
      <c r="BP159" s="104" t="e">
        <f t="shared" ca="1" si="308"/>
        <v>#N/A</v>
      </c>
      <c r="BQ159" s="104">
        <f t="shared" ca="1" si="319"/>
        <v>-60275.913520936665</v>
      </c>
      <c r="BR159" s="10">
        <f t="shared" si="347"/>
        <v>9.9166666666666661</v>
      </c>
      <c r="BS159" s="311"/>
      <c r="BT159" s="307"/>
      <c r="BU159" s="295">
        <f t="shared" si="348"/>
        <v>0</v>
      </c>
      <c r="BV159" s="323"/>
      <c r="BW159" s="299">
        <f t="shared" si="349"/>
        <v>0</v>
      </c>
      <c r="BX159" s="295">
        <f t="shared" si="350"/>
        <v>0</v>
      </c>
      <c r="BY159" s="382"/>
      <c r="BZ159" s="299">
        <f t="shared" si="357"/>
        <v>0</v>
      </c>
      <c r="CA159" s="295">
        <f t="shared" si="362"/>
        <v>0</v>
      </c>
      <c r="CB159" s="323"/>
      <c r="CC159" s="314">
        <f>Q159/AQ159*100+BS159/AQ159*100</f>
        <v>0</v>
      </c>
      <c r="CD159" s="326"/>
      <c r="CE159" s="299">
        <f t="shared" si="351"/>
        <v>0</v>
      </c>
      <c r="CF159" s="284">
        <f>CE159-CA159</f>
        <v>0</v>
      </c>
      <c r="CG159" s="323"/>
      <c r="CH159" s="302">
        <f t="shared" si="389"/>
        <v>0</v>
      </c>
      <c r="CI159" s="108">
        <f t="shared" si="352"/>
        <v>0</v>
      </c>
      <c r="CJ159" s="200">
        <f t="shared" si="353"/>
        <v>0</v>
      </c>
      <c r="CK159" s="197">
        <f t="shared" si="369"/>
        <v>0</v>
      </c>
      <c r="CL159" s="203">
        <f t="shared" si="354"/>
        <v>12</v>
      </c>
      <c r="CM159" s="4">
        <f>U159*Jahresdaten!$AD$2</f>
        <v>0</v>
      </c>
      <c r="CN159" s="112">
        <f>CJ159*Jahresdaten!$AD$2</f>
        <v>0</v>
      </c>
      <c r="CO159" s="366"/>
      <c r="CP159" s="116">
        <f>U159*Jahresdaten!$AD$3</f>
        <v>0</v>
      </c>
      <c r="CQ159" s="12">
        <f>CJ159*Jahresdaten!$AD$3</f>
        <v>0</v>
      </c>
      <c r="CR159" s="353"/>
      <c r="CS159" s="14"/>
      <c r="CT159" s="136"/>
      <c r="CU159" s="140" t="str">
        <f>IF(CT159=0,"",CT159*'Vergleich Holz Strom'!$B$2)</f>
        <v/>
      </c>
      <c r="CV159" s="353">
        <f>SUM(CJ158:CJ169)</f>
        <v>0</v>
      </c>
      <c r="CW159" s="366"/>
      <c r="CX159" s="345"/>
      <c r="CY159" s="345"/>
      <c r="CZ159" s="345"/>
      <c r="DA159" s="348"/>
      <c r="DB159" s="94"/>
      <c r="DC159" s="88">
        <f t="shared" si="281"/>
        <v>25871.677999999956</v>
      </c>
      <c r="DD159" s="94"/>
      <c r="DE159" s="88">
        <f t="shared" si="284"/>
        <v>-19987.112547000001</v>
      </c>
      <c r="DF159" s="100" t="e">
        <f ca="1">BE159+(SUM(CS158:CS169)/12)</f>
        <v>#N/A</v>
      </c>
      <c r="DG159" s="351"/>
      <c r="DH159" s="8">
        <f t="shared" ref="DH159:DH169" si="427">DH158+M159+S159+U159</f>
        <v>0</v>
      </c>
      <c r="DI159" s="123">
        <f t="shared" si="309"/>
        <v>3550</v>
      </c>
      <c r="DJ159" s="2">
        <f t="shared" ref="DJ159:DJ169" si="428">DJ158+M159</f>
        <v>0</v>
      </c>
      <c r="DK159" s="127">
        <f>DK169/12*2</f>
        <v>1300</v>
      </c>
      <c r="DL159" s="2">
        <f t="shared" ref="DL159:DL169" si="429">DL158</f>
        <v>650</v>
      </c>
      <c r="DM159" s="130">
        <f t="shared" ref="DM159:DM169" si="430">DM158+S159</f>
        <v>0</v>
      </c>
      <c r="DN159" s="3">
        <f>DN169/12*2</f>
        <v>500</v>
      </c>
      <c r="DO159" s="130">
        <f t="shared" ref="DO159:DO169" si="431">DO158</f>
        <v>250</v>
      </c>
      <c r="DP159" s="4">
        <f t="shared" ref="DP159:DP169" si="432">DP158+U159</f>
        <v>0</v>
      </c>
      <c r="DQ159" s="116">
        <f t="shared" ref="DQ159:DQ168" si="433">DQ158+DR159</f>
        <v>1750</v>
      </c>
      <c r="DR159" s="116">
        <f>DR147</f>
        <v>800</v>
      </c>
    </row>
    <row r="160" spans="1:122" ht="14.25" customHeight="1" thickBot="1" x14ac:dyDescent="0.2">
      <c r="A160" s="416"/>
      <c r="B160" s="16">
        <v>48183</v>
      </c>
      <c r="C160" s="207">
        <f>'PV-Felder'!$I$13</f>
        <v>559.9</v>
      </c>
      <c r="D160" s="351"/>
      <c r="E160" s="61">
        <v>0</v>
      </c>
      <c r="F160" s="351"/>
      <c r="G160" s="56" t="e">
        <f t="shared" ca="1" si="339"/>
        <v>#N/A</v>
      </c>
      <c r="H160" s="351"/>
      <c r="I160" s="61">
        <v>0</v>
      </c>
      <c r="J160" s="351"/>
      <c r="K160" s="61">
        <v>0</v>
      </c>
      <c r="L160" s="351"/>
      <c r="M160" s="65">
        <f t="shared" si="358"/>
        <v>0</v>
      </c>
      <c r="N160" s="373"/>
      <c r="O160" s="288"/>
      <c r="P160" s="288"/>
      <c r="Q160" s="286">
        <f t="shared" si="340"/>
        <v>0</v>
      </c>
      <c r="R160" s="334"/>
      <c r="S160" s="61">
        <v>0</v>
      </c>
      <c r="T160" s="376"/>
      <c r="U160" s="61">
        <v>0</v>
      </c>
      <c r="V160" s="342"/>
      <c r="W160" s="61">
        <v>0</v>
      </c>
      <c r="X160" s="342"/>
      <c r="Y160" s="211" t="e">
        <f t="shared" si="272"/>
        <v>#N/A</v>
      </c>
      <c r="Z160" s="370"/>
      <c r="AA160" s="61">
        <v>0</v>
      </c>
      <c r="AB160" s="351"/>
      <c r="AC160" s="61">
        <v>0</v>
      </c>
      <c r="AD160" s="351"/>
      <c r="AE160" s="73" t="e">
        <f t="shared" si="303"/>
        <v>#N/A</v>
      </c>
      <c r="AF160" s="356"/>
      <c r="AG160" s="73" t="e">
        <f t="shared" si="304"/>
        <v>#N/A</v>
      </c>
      <c r="AH160" s="356"/>
      <c r="AI160" s="221">
        <f t="shared" ref="AI160:AI168" si="434">AI159</f>
        <v>29.26</v>
      </c>
      <c r="AJ160" s="78">
        <f t="shared" ref="AJ160:AN160" si="435">AJ159</f>
        <v>0.26750000000000002</v>
      </c>
      <c r="AK160" s="79">
        <f t="shared" si="435"/>
        <v>9.9166666666666661</v>
      </c>
      <c r="AL160" s="80">
        <f t="shared" si="435"/>
        <v>187</v>
      </c>
      <c r="AM160" s="78">
        <f t="shared" si="435"/>
        <v>9.737942583732058E-2</v>
      </c>
      <c r="AN160" s="80">
        <f t="shared" si="435"/>
        <v>143</v>
      </c>
      <c r="AO160" s="78">
        <f>AO159</f>
        <v>0.21099999999999999</v>
      </c>
      <c r="AP160" s="88">
        <f>AP159</f>
        <v>12</v>
      </c>
      <c r="AQ160" s="64">
        <f t="shared" si="364"/>
        <v>21.5</v>
      </c>
      <c r="AR160" s="64">
        <f t="shared" si="365"/>
        <v>11.5</v>
      </c>
      <c r="AS160" s="88">
        <f t="shared" si="366"/>
        <v>1.1830000000000001</v>
      </c>
      <c r="AT160" s="91">
        <f t="shared" si="420"/>
        <v>283</v>
      </c>
      <c r="AU160" s="94"/>
      <c r="AV160" s="95"/>
      <c r="AW160" s="56">
        <f t="shared" si="342"/>
        <v>0</v>
      </c>
      <c r="AX160" s="351"/>
      <c r="AY160" s="100">
        <f t="shared" si="371"/>
        <v>9.9166666666666661</v>
      </c>
      <c r="AZ160" s="360"/>
      <c r="BA160" s="91">
        <f t="shared" si="426"/>
        <v>-1502.0292136666687</v>
      </c>
      <c r="BB160" s="5">
        <f t="shared" si="306"/>
        <v>-9.9166666666666661</v>
      </c>
      <c r="BC160" s="363"/>
      <c r="BD160" s="91" t="e">
        <f t="shared" ca="1" si="343"/>
        <v>#N/A</v>
      </c>
      <c r="BE160" s="91" t="e">
        <f t="shared" ca="1" si="344"/>
        <v>#N/A</v>
      </c>
      <c r="BF160" s="91">
        <f t="shared" si="345"/>
        <v>31.833333333333329</v>
      </c>
      <c r="BG160" s="91" t="e">
        <f t="shared" ca="1" si="346"/>
        <v>#N/A</v>
      </c>
      <c r="BH160" s="91" t="e">
        <f t="shared" ca="1" si="392"/>
        <v>#N/A</v>
      </c>
      <c r="BI160" s="10" t="e">
        <f t="shared" ca="1" si="360"/>
        <v>#N/A</v>
      </c>
      <c r="BJ160" s="104">
        <f>((M160+Q160)*AJ160+AK160)+((U160-W160+W160/('Vergleich Holz Strom'!$B$8-0.6))*AO160+AP160)</f>
        <v>21.916666666666664</v>
      </c>
      <c r="BK160" s="10" t="e">
        <f t="shared" ca="1" si="307"/>
        <v>#N/A</v>
      </c>
      <c r="BL160" s="379"/>
      <c r="BM160" s="104" t="e">
        <f t="shared" ca="1" si="356"/>
        <v>#N/A</v>
      </c>
      <c r="BN160" s="40" t="e">
        <f ca="1">IF(ISNUMBER(BK160),BN159+SUMIF(BK158:BK169,"&lt;&gt;#NV",BK158:BK169)/COUNTIF(BK158:BK169,"&lt;&gt;#NV"),#N/A)</f>
        <v>#N/A</v>
      </c>
      <c r="BO160" s="10" t="e">
        <f t="shared" ca="1" si="422"/>
        <v>#N/A</v>
      </c>
      <c r="BP160" s="104" t="e">
        <f t="shared" ca="1" si="308"/>
        <v>#N/A</v>
      </c>
      <c r="BQ160" s="104">
        <f t="shared" ca="1" si="319"/>
        <v>-60263.913520936665</v>
      </c>
      <c r="BR160" s="10">
        <f t="shared" si="347"/>
        <v>9.9166666666666661</v>
      </c>
      <c r="BS160" s="311"/>
      <c r="BT160" s="307"/>
      <c r="BU160" s="295">
        <f t="shared" si="348"/>
        <v>0</v>
      </c>
      <c r="BV160" s="323"/>
      <c r="BW160" s="299">
        <f t="shared" si="349"/>
        <v>0</v>
      </c>
      <c r="BX160" s="295">
        <f t="shared" si="350"/>
        <v>0</v>
      </c>
      <c r="BY160" s="382"/>
      <c r="BZ160" s="299">
        <f t="shared" si="357"/>
        <v>0</v>
      </c>
      <c r="CA160" s="295">
        <f t="shared" si="362"/>
        <v>0</v>
      </c>
      <c r="CB160" s="323"/>
      <c r="CC160" s="314">
        <f t="shared" ref="CC160:CC170" si="436">Q160/AQ160*100+BS160/AQ160*100</f>
        <v>0</v>
      </c>
      <c r="CD160" s="326"/>
      <c r="CE160" s="299">
        <f t="shared" si="351"/>
        <v>0</v>
      </c>
      <c r="CF160" s="284">
        <f t="shared" ref="CF160:CF170" si="437">CE160-CA160</f>
        <v>0</v>
      </c>
      <c r="CG160" s="323"/>
      <c r="CH160" s="302">
        <f t="shared" si="389"/>
        <v>0</v>
      </c>
      <c r="CI160" s="108">
        <f t="shared" si="352"/>
        <v>0</v>
      </c>
      <c r="CJ160" s="200">
        <f t="shared" si="353"/>
        <v>0</v>
      </c>
      <c r="CK160" s="197">
        <f t="shared" si="369"/>
        <v>0</v>
      </c>
      <c r="CL160" s="203">
        <f t="shared" si="354"/>
        <v>12</v>
      </c>
      <c r="CM160" s="4">
        <f>U160*Jahresdaten!$AD$2</f>
        <v>0</v>
      </c>
      <c r="CN160" s="112">
        <f>CJ160*Jahresdaten!$AD$2</f>
        <v>0</v>
      </c>
      <c r="CO160" s="366"/>
      <c r="CP160" s="116">
        <f>U160*Jahresdaten!$AD$3</f>
        <v>0</v>
      </c>
      <c r="CQ160" s="12">
        <f>CJ160*Jahresdaten!$AD$3</f>
        <v>0</v>
      </c>
      <c r="CR160" s="353"/>
      <c r="CS160" s="14"/>
      <c r="CT160" s="136"/>
      <c r="CU160" s="140" t="str">
        <f>IF(CT160=0,"",CT160*'Vergleich Holz Strom'!$B$2)</f>
        <v/>
      </c>
      <c r="CV160" s="353"/>
      <c r="CW160" s="366"/>
      <c r="CX160" s="345"/>
      <c r="CY160" s="345"/>
      <c r="CZ160" s="345"/>
      <c r="DA160" s="348"/>
      <c r="DB160" s="94"/>
      <c r="DC160" s="88">
        <f t="shared" si="281"/>
        <v>26048.761333333288</v>
      </c>
      <c r="DD160" s="94"/>
      <c r="DE160" s="88">
        <f t="shared" si="284"/>
        <v>-20130.112547000001</v>
      </c>
      <c r="DF160" s="100" t="e">
        <f ca="1">BE160+(SUM(CS158:CS169)/12)</f>
        <v>#N/A</v>
      </c>
      <c r="DG160" s="351"/>
      <c r="DH160" s="8">
        <f t="shared" si="427"/>
        <v>0</v>
      </c>
      <c r="DI160" s="123">
        <f t="shared" si="309"/>
        <v>5300</v>
      </c>
      <c r="DJ160" s="2">
        <f t="shared" si="428"/>
        <v>0</v>
      </c>
      <c r="DK160" s="127">
        <f>DK169/12*3</f>
        <v>1950</v>
      </c>
      <c r="DL160" s="2">
        <f t="shared" si="429"/>
        <v>650</v>
      </c>
      <c r="DM160" s="130">
        <f t="shared" si="430"/>
        <v>0</v>
      </c>
      <c r="DN160" s="3">
        <f>DN169/12*3</f>
        <v>750</v>
      </c>
      <c r="DO160" s="130">
        <f t="shared" si="431"/>
        <v>250</v>
      </c>
      <c r="DP160" s="4">
        <f t="shared" si="432"/>
        <v>0</v>
      </c>
      <c r="DQ160" s="116">
        <f t="shared" si="433"/>
        <v>2600</v>
      </c>
      <c r="DR160" s="116">
        <f t="shared" ref="DR160:DR168" si="438">DR148</f>
        <v>850.00000000000011</v>
      </c>
    </row>
    <row r="161" spans="1:122" ht="14.25" customHeight="1" thickBot="1" x14ac:dyDescent="0.2">
      <c r="A161" s="416"/>
      <c r="B161" s="16">
        <v>48214</v>
      </c>
      <c r="C161" s="207">
        <f>'PV-Felder'!$I$2</f>
        <v>660.80000000000007</v>
      </c>
      <c r="D161" s="351"/>
      <c r="E161" s="61">
        <v>0</v>
      </c>
      <c r="F161" s="351"/>
      <c r="G161" s="56" t="e">
        <f t="shared" ca="1" si="339"/>
        <v>#N/A</v>
      </c>
      <c r="H161" s="351"/>
      <c r="I161" s="61">
        <v>0</v>
      </c>
      <c r="J161" s="351"/>
      <c r="K161" s="61">
        <v>0</v>
      </c>
      <c r="L161" s="351"/>
      <c r="M161" s="65">
        <f t="shared" si="358"/>
        <v>0</v>
      </c>
      <c r="N161" s="373"/>
      <c r="O161" s="288"/>
      <c r="P161" s="288"/>
      <c r="Q161" s="286">
        <f t="shared" si="340"/>
        <v>0</v>
      </c>
      <c r="R161" s="334"/>
      <c r="S161" s="61">
        <v>0</v>
      </c>
      <c r="T161" s="376"/>
      <c r="U161" s="61">
        <v>0</v>
      </c>
      <c r="V161" s="342"/>
      <c r="W161" s="61">
        <v>0</v>
      </c>
      <c r="X161" s="342"/>
      <c r="Y161" s="211" t="e">
        <f t="shared" si="272"/>
        <v>#N/A</v>
      </c>
      <c r="Z161" s="370"/>
      <c r="AA161" s="61">
        <v>0</v>
      </c>
      <c r="AB161" s="351"/>
      <c r="AC161" s="61">
        <v>0</v>
      </c>
      <c r="AD161" s="351"/>
      <c r="AE161" s="73" t="e">
        <f t="shared" si="303"/>
        <v>#N/A</v>
      </c>
      <c r="AF161" s="356"/>
      <c r="AG161" s="73" t="e">
        <f t="shared" si="304"/>
        <v>#N/A</v>
      </c>
      <c r="AH161" s="356"/>
      <c r="AI161" s="221">
        <f t="shared" si="434"/>
        <v>29.26</v>
      </c>
      <c r="AJ161" s="78">
        <f t="shared" ref="AJ161:AP161" si="439">AJ160</f>
        <v>0.26750000000000002</v>
      </c>
      <c r="AK161" s="79">
        <f t="shared" si="439"/>
        <v>9.9166666666666661</v>
      </c>
      <c r="AL161" s="80">
        <f t="shared" si="439"/>
        <v>187</v>
      </c>
      <c r="AM161" s="78">
        <f t="shared" si="439"/>
        <v>9.737942583732058E-2</v>
      </c>
      <c r="AN161" s="80">
        <f t="shared" si="439"/>
        <v>143</v>
      </c>
      <c r="AO161" s="78">
        <f t="shared" si="439"/>
        <v>0.21099999999999999</v>
      </c>
      <c r="AP161" s="88">
        <f t="shared" si="439"/>
        <v>12</v>
      </c>
      <c r="AQ161" s="64">
        <f t="shared" si="364"/>
        <v>21.5</v>
      </c>
      <c r="AR161" s="64">
        <f t="shared" si="365"/>
        <v>11.5</v>
      </c>
      <c r="AS161" s="88">
        <f t="shared" si="366"/>
        <v>1.1830000000000001</v>
      </c>
      <c r="AT161" s="91">
        <f t="shared" si="420"/>
        <v>283</v>
      </c>
      <c r="AU161" s="94"/>
      <c r="AV161" s="95"/>
      <c r="AW161" s="56">
        <f t="shared" si="342"/>
        <v>0</v>
      </c>
      <c r="AX161" s="351"/>
      <c r="AY161" s="100">
        <f t="shared" si="371"/>
        <v>9.9166666666666661</v>
      </c>
      <c r="AZ161" s="360"/>
      <c r="BA161" s="91">
        <f t="shared" si="426"/>
        <v>-1511.9458803333355</v>
      </c>
      <c r="BB161" s="5">
        <f t="shared" si="306"/>
        <v>-9.9166666666666661</v>
      </c>
      <c r="BC161" s="363"/>
      <c r="BD161" s="91" t="e">
        <f t="shared" ca="1" si="343"/>
        <v>#N/A</v>
      </c>
      <c r="BE161" s="91" t="e">
        <f t="shared" ca="1" si="344"/>
        <v>#N/A</v>
      </c>
      <c r="BF161" s="91">
        <f t="shared" si="345"/>
        <v>31.833333333333329</v>
      </c>
      <c r="BG161" s="91" t="e">
        <f t="shared" ca="1" si="346"/>
        <v>#N/A</v>
      </c>
      <c r="BH161" s="91" t="e">
        <f t="shared" ca="1" si="392"/>
        <v>#N/A</v>
      </c>
      <c r="BI161" s="10" t="e">
        <f t="shared" ca="1" si="360"/>
        <v>#N/A</v>
      </c>
      <c r="BJ161" s="104">
        <f>((M161+Q161)*AJ161+AK161)+((U161-W161+W161/('Vergleich Holz Strom'!$B$8-0.6))*AO161+AP161)</f>
        <v>21.916666666666664</v>
      </c>
      <c r="BK161" s="10" t="e">
        <f t="shared" ca="1" si="307"/>
        <v>#N/A</v>
      </c>
      <c r="BL161" s="379"/>
      <c r="BM161" s="104" t="e">
        <f t="shared" ca="1" si="356"/>
        <v>#N/A</v>
      </c>
      <c r="BN161" s="40" t="e">
        <f ca="1">IF(ISNUMBER(BK161),BN160+SUMIF(BK158:BK169,"&lt;&gt;#NV",BK158:BK169)/COUNTIF(BK158:BK169,"&lt;&gt;#NV"),#N/A)</f>
        <v>#N/A</v>
      </c>
      <c r="BO161" s="10" t="e">
        <f t="shared" ca="1" si="422"/>
        <v>#N/A</v>
      </c>
      <c r="BP161" s="104" t="e">
        <f t="shared" ca="1" si="308"/>
        <v>#N/A</v>
      </c>
      <c r="BQ161" s="104">
        <f t="shared" ca="1" si="319"/>
        <v>-60251.913520936665</v>
      </c>
      <c r="BR161" s="10">
        <f t="shared" si="347"/>
        <v>9.9166666666666661</v>
      </c>
      <c r="BS161" s="311"/>
      <c r="BT161" s="307"/>
      <c r="BU161" s="295">
        <f t="shared" si="348"/>
        <v>0</v>
      </c>
      <c r="BV161" s="323"/>
      <c r="BW161" s="299">
        <f t="shared" si="349"/>
        <v>0</v>
      </c>
      <c r="BX161" s="295">
        <f t="shared" si="350"/>
        <v>0</v>
      </c>
      <c r="BY161" s="382"/>
      <c r="BZ161" s="299">
        <f t="shared" si="357"/>
        <v>0</v>
      </c>
      <c r="CA161" s="295">
        <f t="shared" si="362"/>
        <v>0</v>
      </c>
      <c r="CB161" s="323"/>
      <c r="CC161" s="314">
        <f t="shared" si="436"/>
        <v>0</v>
      </c>
      <c r="CD161" s="326"/>
      <c r="CE161" s="299">
        <f t="shared" si="351"/>
        <v>0</v>
      </c>
      <c r="CF161" s="284">
        <f t="shared" si="437"/>
        <v>0</v>
      </c>
      <c r="CG161" s="323"/>
      <c r="CH161" s="302">
        <f t="shared" si="389"/>
        <v>0</v>
      </c>
      <c r="CI161" s="108">
        <f t="shared" si="352"/>
        <v>0</v>
      </c>
      <c r="CJ161" s="200">
        <f t="shared" si="353"/>
        <v>0</v>
      </c>
      <c r="CK161" s="197">
        <f t="shared" si="369"/>
        <v>0</v>
      </c>
      <c r="CL161" s="203">
        <f t="shared" si="354"/>
        <v>12</v>
      </c>
      <c r="CM161" s="4">
        <f>U161*Jahresdaten!$AD$2</f>
        <v>0</v>
      </c>
      <c r="CN161" s="112">
        <f>CJ161*Jahresdaten!$AD$2</f>
        <v>0</v>
      </c>
      <c r="CO161" s="366"/>
      <c r="CP161" s="116">
        <f>U161*Jahresdaten!$AD$3</f>
        <v>0</v>
      </c>
      <c r="CQ161" s="12">
        <f>CJ161*Jahresdaten!$AD$3</f>
        <v>0</v>
      </c>
      <c r="CR161" s="353"/>
      <c r="CS161" s="14"/>
      <c r="CT161" s="136"/>
      <c r="CU161" s="140" t="str">
        <f>IF(CT161=0,"",CT161*'Vergleich Holz Strom'!$B$2)</f>
        <v/>
      </c>
      <c r="CV161" s="353"/>
      <c r="CW161" s="366"/>
      <c r="CX161" s="345"/>
      <c r="CY161" s="345"/>
      <c r="CZ161" s="345"/>
      <c r="DA161" s="348"/>
      <c r="DB161" s="94"/>
      <c r="DC161" s="88">
        <f t="shared" si="281"/>
        <v>26225.84466666662</v>
      </c>
      <c r="DD161" s="94"/>
      <c r="DE161" s="88">
        <f t="shared" si="284"/>
        <v>-20273.112547000001</v>
      </c>
      <c r="DF161" s="100" t="e">
        <f ca="1">BE161+(SUM(CS158:CS169)/12)</f>
        <v>#N/A</v>
      </c>
      <c r="DG161" s="351"/>
      <c r="DH161" s="8">
        <f t="shared" si="427"/>
        <v>0</v>
      </c>
      <c r="DI161" s="123">
        <f t="shared" si="309"/>
        <v>7350</v>
      </c>
      <c r="DJ161" s="2">
        <f t="shared" si="428"/>
        <v>0</v>
      </c>
      <c r="DK161" s="127">
        <f>DK169/12*4</f>
        <v>2600</v>
      </c>
      <c r="DL161" s="2">
        <f t="shared" si="429"/>
        <v>650</v>
      </c>
      <c r="DM161" s="130">
        <f t="shared" si="430"/>
        <v>0</v>
      </c>
      <c r="DN161" s="3">
        <f>DN169/12*4</f>
        <v>1000</v>
      </c>
      <c r="DO161" s="130">
        <f t="shared" si="431"/>
        <v>250</v>
      </c>
      <c r="DP161" s="4">
        <f t="shared" si="432"/>
        <v>0</v>
      </c>
      <c r="DQ161" s="116">
        <f t="shared" si="433"/>
        <v>3750</v>
      </c>
      <c r="DR161" s="116">
        <f t="shared" si="438"/>
        <v>1150</v>
      </c>
    </row>
    <row r="162" spans="1:122" ht="14.25" customHeight="1" thickBot="1" x14ac:dyDescent="0.2">
      <c r="A162" s="416"/>
      <c r="B162" s="16">
        <v>48245</v>
      </c>
      <c r="C162" s="207">
        <f>'PV-Felder'!$I$3</f>
        <v>922.2</v>
      </c>
      <c r="D162" s="351"/>
      <c r="E162" s="61">
        <v>0</v>
      </c>
      <c r="F162" s="351"/>
      <c r="G162" s="56" t="e">
        <f t="shared" ca="1" si="339"/>
        <v>#N/A</v>
      </c>
      <c r="H162" s="351"/>
      <c r="I162" s="61">
        <v>0</v>
      </c>
      <c r="J162" s="351"/>
      <c r="K162" s="61">
        <v>0</v>
      </c>
      <c r="L162" s="351"/>
      <c r="M162" s="65">
        <f t="shared" si="358"/>
        <v>0</v>
      </c>
      <c r="N162" s="373"/>
      <c r="O162" s="288"/>
      <c r="P162" s="288"/>
      <c r="Q162" s="286">
        <f t="shared" si="340"/>
        <v>0</v>
      </c>
      <c r="R162" s="334"/>
      <c r="S162" s="61">
        <v>0</v>
      </c>
      <c r="T162" s="376"/>
      <c r="U162" s="61">
        <v>0</v>
      </c>
      <c r="V162" s="342"/>
      <c r="W162" s="61">
        <v>0</v>
      </c>
      <c r="X162" s="342"/>
      <c r="Y162" s="211" t="e">
        <f t="shared" si="272"/>
        <v>#N/A</v>
      </c>
      <c r="Z162" s="370"/>
      <c r="AA162" s="61">
        <v>0</v>
      </c>
      <c r="AB162" s="351"/>
      <c r="AC162" s="61">
        <v>0</v>
      </c>
      <c r="AD162" s="351"/>
      <c r="AE162" s="73" t="e">
        <f t="shared" si="303"/>
        <v>#N/A</v>
      </c>
      <c r="AF162" s="356"/>
      <c r="AG162" s="73" t="e">
        <f t="shared" si="304"/>
        <v>#N/A</v>
      </c>
      <c r="AH162" s="356"/>
      <c r="AI162" s="221">
        <f t="shared" si="434"/>
        <v>29.26</v>
      </c>
      <c r="AJ162" s="78">
        <f t="shared" ref="AJ162:AP162" si="440">AJ161</f>
        <v>0.26750000000000002</v>
      </c>
      <c r="AK162" s="79">
        <f t="shared" si="440"/>
        <v>9.9166666666666661</v>
      </c>
      <c r="AL162" s="80">
        <f t="shared" si="440"/>
        <v>187</v>
      </c>
      <c r="AM162" s="78">
        <f t="shared" si="440"/>
        <v>9.737942583732058E-2</v>
      </c>
      <c r="AN162" s="80">
        <f t="shared" si="440"/>
        <v>143</v>
      </c>
      <c r="AO162" s="78">
        <f t="shared" si="440"/>
        <v>0.21099999999999999</v>
      </c>
      <c r="AP162" s="88">
        <f t="shared" si="440"/>
        <v>12</v>
      </c>
      <c r="AQ162" s="64">
        <f t="shared" si="364"/>
        <v>21.5</v>
      </c>
      <c r="AR162" s="64">
        <f t="shared" si="365"/>
        <v>11.5</v>
      </c>
      <c r="AS162" s="88">
        <f t="shared" si="366"/>
        <v>1.1830000000000001</v>
      </c>
      <c r="AT162" s="91">
        <f t="shared" si="420"/>
        <v>283</v>
      </c>
      <c r="AU162" s="94"/>
      <c r="AV162" s="95"/>
      <c r="AW162" s="56">
        <f t="shared" si="342"/>
        <v>0</v>
      </c>
      <c r="AX162" s="351"/>
      <c r="AY162" s="100">
        <f t="shared" si="371"/>
        <v>9.9166666666666661</v>
      </c>
      <c r="AZ162" s="360"/>
      <c r="BA162" s="91">
        <f t="shared" si="426"/>
        <v>-1521.8625470000022</v>
      </c>
      <c r="BB162" s="5">
        <f t="shared" si="306"/>
        <v>-9.9166666666666661</v>
      </c>
      <c r="BC162" s="363"/>
      <c r="BD162" s="91" t="e">
        <f t="shared" ca="1" si="343"/>
        <v>#N/A</v>
      </c>
      <c r="BE162" s="91" t="e">
        <f t="shared" ca="1" si="344"/>
        <v>#N/A</v>
      </c>
      <c r="BF162" s="91">
        <f t="shared" si="345"/>
        <v>31.833333333333329</v>
      </c>
      <c r="BG162" s="91" t="e">
        <f t="shared" ca="1" si="346"/>
        <v>#N/A</v>
      </c>
      <c r="BH162" s="91" t="e">
        <f t="shared" ca="1" si="392"/>
        <v>#N/A</v>
      </c>
      <c r="BI162" s="10" t="e">
        <f t="shared" ca="1" si="360"/>
        <v>#N/A</v>
      </c>
      <c r="BJ162" s="104">
        <f>((M162+Q162)*AJ162+AK162)+((U162-W162+W162/('Vergleich Holz Strom'!$B$8-0.6))*AO162+AP162)</f>
        <v>21.916666666666664</v>
      </c>
      <c r="BK162" s="10" t="e">
        <f t="shared" ca="1" si="307"/>
        <v>#N/A</v>
      </c>
      <c r="BL162" s="379"/>
      <c r="BM162" s="104" t="e">
        <f t="shared" ca="1" si="356"/>
        <v>#N/A</v>
      </c>
      <c r="BN162" s="40" t="e">
        <f ca="1">IF(ISNUMBER(BK162),BN161+SUMIF(BK158:BK169,"&lt;&gt;#NV",BK158:BK169)/COUNTIF(BK158:BK169,"&lt;&gt;#NV"),#N/A)</f>
        <v>#N/A</v>
      </c>
      <c r="BO162" s="10" t="e">
        <f t="shared" ca="1" si="422"/>
        <v>#N/A</v>
      </c>
      <c r="BP162" s="104" t="e">
        <f t="shared" ca="1" si="308"/>
        <v>#N/A</v>
      </c>
      <c r="BQ162" s="104">
        <f t="shared" ca="1" si="319"/>
        <v>-60232.713520936668</v>
      </c>
      <c r="BR162" s="10">
        <f t="shared" si="347"/>
        <v>9.9166666666666661</v>
      </c>
      <c r="BS162" s="311"/>
      <c r="BT162" s="307"/>
      <c r="BU162" s="295">
        <f t="shared" si="348"/>
        <v>0</v>
      </c>
      <c r="BV162" s="323"/>
      <c r="BW162" s="299">
        <f t="shared" si="349"/>
        <v>0</v>
      </c>
      <c r="BX162" s="295">
        <f t="shared" si="350"/>
        <v>0</v>
      </c>
      <c r="BY162" s="382"/>
      <c r="BZ162" s="299">
        <f t="shared" si="357"/>
        <v>0</v>
      </c>
      <c r="CA162" s="295">
        <f t="shared" si="362"/>
        <v>0</v>
      </c>
      <c r="CB162" s="323"/>
      <c r="CC162" s="314">
        <f t="shared" si="436"/>
        <v>0</v>
      </c>
      <c r="CD162" s="326"/>
      <c r="CE162" s="299">
        <f t="shared" si="351"/>
        <v>0</v>
      </c>
      <c r="CF162" s="284">
        <f t="shared" si="437"/>
        <v>0</v>
      </c>
      <c r="CG162" s="323"/>
      <c r="CH162" s="302">
        <f t="shared" si="389"/>
        <v>0</v>
      </c>
      <c r="CI162" s="108">
        <f t="shared" si="352"/>
        <v>0</v>
      </c>
      <c r="CJ162" s="200">
        <f t="shared" si="353"/>
        <v>0</v>
      </c>
      <c r="CK162" s="197">
        <f t="shared" si="369"/>
        <v>0</v>
      </c>
      <c r="CL162" s="203">
        <f t="shared" si="354"/>
        <v>12</v>
      </c>
      <c r="CM162" s="4">
        <f>U162*Jahresdaten!$AD$2</f>
        <v>0</v>
      </c>
      <c r="CN162" s="112">
        <f>CJ162*Jahresdaten!$AD$2</f>
        <v>0</v>
      </c>
      <c r="CO162" s="366"/>
      <c r="CP162" s="116">
        <f>U162*Jahresdaten!$AD$3</f>
        <v>0</v>
      </c>
      <c r="CQ162" s="12">
        <f>CJ162*Jahresdaten!$AD$3</f>
        <v>0</v>
      </c>
      <c r="CR162" s="353"/>
      <c r="CS162" s="14"/>
      <c r="CT162" s="136"/>
      <c r="CU162" s="140" t="str">
        <f>IF(CT162=0,"",CT162*'Vergleich Holz Strom'!$B$2)</f>
        <v/>
      </c>
      <c r="CV162" s="353"/>
      <c r="CW162" s="366"/>
      <c r="CX162" s="345"/>
      <c r="CY162" s="345"/>
      <c r="CZ162" s="345"/>
      <c r="DA162" s="348"/>
      <c r="DB162" s="94"/>
      <c r="DC162" s="88">
        <f t="shared" si="281"/>
        <v>26402.927999999953</v>
      </c>
      <c r="DD162" s="94"/>
      <c r="DE162" s="88">
        <f t="shared" si="284"/>
        <v>-20416.112547000001</v>
      </c>
      <c r="DF162" s="100" t="e">
        <f ca="1">BE162+(SUM(CS158:CS169)/12)</f>
        <v>#N/A</v>
      </c>
      <c r="DG162" s="351"/>
      <c r="DH162" s="8">
        <f t="shared" si="427"/>
        <v>0</v>
      </c>
      <c r="DI162" s="123">
        <f t="shared" si="309"/>
        <v>9600</v>
      </c>
      <c r="DJ162" s="2">
        <f t="shared" si="428"/>
        <v>0</v>
      </c>
      <c r="DK162" s="127">
        <f>DK169/12*5</f>
        <v>3250</v>
      </c>
      <c r="DL162" s="2">
        <f t="shared" si="429"/>
        <v>650</v>
      </c>
      <c r="DM162" s="130">
        <f t="shared" si="430"/>
        <v>0</v>
      </c>
      <c r="DN162" s="3">
        <f>DN169/12*5</f>
        <v>1250</v>
      </c>
      <c r="DO162" s="130">
        <f t="shared" si="431"/>
        <v>250</v>
      </c>
      <c r="DP162" s="4">
        <f t="shared" si="432"/>
        <v>0</v>
      </c>
      <c r="DQ162" s="116">
        <f t="shared" si="433"/>
        <v>5100</v>
      </c>
      <c r="DR162" s="116">
        <f t="shared" si="438"/>
        <v>1350</v>
      </c>
    </row>
    <row r="163" spans="1:122" ht="14.25" customHeight="1" thickBot="1" x14ac:dyDescent="0.2">
      <c r="A163" s="416"/>
      <c r="B163" s="16">
        <v>48274</v>
      </c>
      <c r="C163" s="207">
        <f>'PV-Felder'!$I$4</f>
        <v>1860</v>
      </c>
      <c r="D163" s="351"/>
      <c r="E163" s="61">
        <v>0</v>
      </c>
      <c r="F163" s="351"/>
      <c r="G163" s="56" t="e">
        <f t="shared" ca="1" si="339"/>
        <v>#N/A</v>
      </c>
      <c r="H163" s="351"/>
      <c r="I163" s="61">
        <v>0</v>
      </c>
      <c r="J163" s="351"/>
      <c r="K163" s="61">
        <v>0</v>
      </c>
      <c r="L163" s="351"/>
      <c r="M163" s="65">
        <f t="shared" si="358"/>
        <v>0</v>
      </c>
      <c r="N163" s="373"/>
      <c r="O163" s="288"/>
      <c r="P163" s="288"/>
      <c r="Q163" s="286">
        <f t="shared" si="340"/>
        <v>0</v>
      </c>
      <c r="R163" s="334"/>
      <c r="S163" s="61">
        <v>0</v>
      </c>
      <c r="T163" s="376"/>
      <c r="U163" s="61">
        <v>0</v>
      </c>
      <c r="V163" s="342"/>
      <c r="W163" s="61">
        <v>0</v>
      </c>
      <c r="X163" s="342"/>
      <c r="Y163" s="211" t="e">
        <f t="shared" si="272"/>
        <v>#N/A</v>
      </c>
      <c r="Z163" s="370"/>
      <c r="AA163" s="61">
        <v>0</v>
      </c>
      <c r="AB163" s="351"/>
      <c r="AC163" s="61">
        <v>0</v>
      </c>
      <c r="AD163" s="351"/>
      <c r="AE163" s="73" t="e">
        <f t="shared" si="303"/>
        <v>#N/A</v>
      </c>
      <c r="AF163" s="356"/>
      <c r="AG163" s="73" t="e">
        <f t="shared" si="304"/>
        <v>#N/A</v>
      </c>
      <c r="AH163" s="356"/>
      <c r="AI163" s="221">
        <f t="shared" si="434"/>
        <v>29.26</v>
      </c>
      <c r="AJ163" s="78">
        <f t="shared" ref="AJ163:AP163" si="441">AJ162</f>
        <v>0.26750000000000002</v>
      </c>
      <c r="AK163" s="79">
        <f t="shared" si="441"/>
        <v>9.9166666666666661</v>
      </c>
      <c r="AL163" s="80">
        <f t="shared" si="441"/>
        <v>187</v>
      </c>
      <c r="AM163" s="78">
        <f t="shared" si="441"/>
        <v>9.737942583732058E-2</v>
      </c>
      <c r="AN163" s="80">
        <f t="shared" si="441"/>
        <v>143</v>
      </c>
      <c r="AO163" s="78">
        <f t="shared" si="441"/>
        <v>0.21099999999999999</v>
      </c>
      <c r="AP163" s="88">
        <f t="shared" si="441"/>
        <v>12</v>
      </c>
      <c r="AQ163" s="64">
        <f t="shared" si="364"/>
        <v>21.5</v>
      </c>
      <c r="AR163" s="64">
        <f t="shared" si="365"/>
        <v>11.5</v>
      </c>
      <c r="AS163" s="88">
        <f t="shared" si="366"/>
        <v>1.1830000000000001</v>
      </c>
      <c r="AT163" s="91">
        <f t="shared" si="420"/>
        <v>283</v>
      </c>
      <c r="AU163" s="94"/>
      <c r="AV163" s="95"/>
      <c r="AW163" s="56">
        <f t="shared" si="342"/>
        <v>0</v>
      </c>
      <c r="AX163" s="351"/>
      <c r="AY163" s="100">
        <f t="shared" si="371"/>
        <v>9.9166666666666661</v>
      </c>
      <c r="AZ163" s="360"/>
      <c r="BA163" s="91">
        <f t="shared" si="426"/>
        <v>-1531.779213666669</v>
      </c>
      <c r="BB163" s="5">
        <f t="shared" si="306"/>
        <v>-9.9166666666666661</v>
      </c>
      <c r="BC163" s="363"/>
      <c r="BD163" s="91" t="e">
        <f t="shared" ca="1" si="343"/>
        <v>#N/A</v>
      </c>
      <c r="BE163" s="91" t="e">
        <f t="shared" ca="1" si="344"/>
        <v>#N/A</v>
      </c>
      <c r="BF163" s="91">
        <f t="shared" si="345"/>
        <v>31.833333333333329</v>
      </c>
      <c r="BG163" s="91" t="e">
        <f t="shared" ca="1" si="346"/>
        <v>#N/A</v>
      </c>
      <c r="BH163" s="91" t="e">
        <f t="shared" ca="1" si="392"/>
        <v>#N/A</v>
      </c>
      <c r="BI163" s="10" t="e">
        <f t="shared" ca="1" si="360"/>
        <v>#N/A</v>
      </c>
      <c r="BJ163" s="104">
        <f>((M163+Q163)*AJ163+AK163)+((U163-W163+W163/('Vergleich Holz Strom'!$B$8-0.6))*AO163+AP163)</f>
        <v>21.916666666666664</v>
      </c>
      <c r="BK163" s="10" t="e">
        <f t="shared" ca="1" si="307"/>
        <v>#N/A</v>
      </c>
      <c r="BL163" s="379"/>
      <c r="BM163" s="104" t="e">
        <f t="shared" ca="1" si="356"/>
        <v>#N/A</v>
      </c>
      <c r="BN163" s="40" t="e">
        <f ca="1">IF(ISNUMBER(BK163),BN162+SUMIF(BK158:BK169,"&lt;&gt;#NV",BK158:BK169)/COUNTIF(BK158:BK169,"&lt;&gt;#NV"),#N/A)</f>
        <v>#N/A</v>
      </c>
      <c r="BO163" s="10" t="e">
        <f t="shared" ca="1" si="422"/>
        <v>#N/A</v>
      </c>
      <c r="BP163" s="104" t="e">
        <f t="shared" ca="1" si="308"/>
        <v>#N/A</v>
      </c>
      <c r="BQ163" s="104">
        <f t="shared" ca="1" si="319"/>
        <v>-60213.513520936671</v>
      </c>
      <c r="BR163" s="10">
        <f t="shared" si="347"/>
        <v>9.9166666666666661</v>
      </c>
      <c r="BS163" s="311"/>
      <c r="BT163" s="307"/>
      <c r="BU163" s="295">
        <f t="shared" si="348"/>
        <v>0</v>
      </c>
      <c r="BV163" s="323"/>
      <c r="BW163" s="299">
        <f t="shared" si="349"/>
        <v>0</v>
      </c>
      <c r="BX163" s="295">
        <f t="shared" si="350"/>
        <v>0</v>
      </c>
      <c r="BY163" s="382"/>
      <c r="BZ163" s="299">
        <f t="shared" si="357"/>
        <v>0</v>
      </c>
      <c r="CA163" s="295">
        <f t="shared" si="362"/>
        <v>0</v>
      </c>
      <c r="CB163" s="323"/>
      <c r="CC163" s="314">
        <f t="shared" si="436"/>
        <v>0</v>
      </c>
      <c r="CD163" s="326"/>
      <c r="CE163" s="299">
        <f t="shared" si="351"/>
        <v>0</v>
      </c>
      <c r="CF163" s="284">
        <f t="shared" si="437"/>
        <v>0</v>
      </c>
      <c r="CG163" s="323"/>
      <c r="CH163" s="302">
        <f t="shared" si="389"/>
        <v>0</v>
      </c>
      <c r="CI163" s="108">
        <f t="shared" si="352"/>
        <v>0</v>
      </c>
      <c r="CJ163" s="200">
        <f t="shared" si="353"/>
        <v>0</v>
      </c>
      <c r="CK163" s="197">
        <f t="shared" si="369"/>
        <v>0</v>
      </c>
      <c r="CL163" s="203">
        <f t="shared" si="354"/>
        <v>12</v>
      </c>
      <c r="CM163" s="4">
        <f>U163*Jahresdaten!$AD$2</f>
        <v>0</v>
      </c>
      <c r="CN163" s="112">
        <f>CJ163*Jahresdaten!$AD$2</f>
        <v>0</v>
      </c>
      <c r="CO163" s="366"/>
      <c r="CP163" s="116">
        <f>U163*Jahresdaten!$AD$3</f>
        <v>0</v>
      </c>
      <c r="CQ163" s="12">
        <f>CJ163*Jahresdaten!$AD$3</f>
        <v>0</v>
      </c>
      <c r="CR163" s="353"/>
      <c r="CS163" s="14"/>
      <c r="CT163" s="136"/>
      <c r="CU163" s="140" t="str">
        <f>IF(CT163=0,"",CT163*'Vergleich Holz Strom'!$B$2)</f>
        <v/>
      </c>
      <c r="CV163" s="353"/>
      <c r="CW163" s="366"/>
      <c r="CX163" s="345"/>
      <c r="CY163" s="345"/>
      <c r="CZ163" s="345"/>
      <c r="DA163" s="348"/>
      <c r="DB163" s="94"/>
      <c r="DC163" s="88">
        <f t="shared" si="281"/>
        <v>26580.011333333285</v>
      </c>
      <c r="DD163" s="94"/>
      <c r="DE163" s="88">
        <f t="shared" si="284"/>
        <v>-20559.112547000001</v>
      </c>
      <c r="DF163" s="100" t="e">
        <f ca="1">BE163+(SUM(CS158:CS169)/12)</f>
        <v>#N/A</v>
      </c>
      <c r="DG163" s="351"/>
      <c r="DH163" s="8">
        <f t="shared" si="427"/>
        <v>0</v>
      </c>
      <c r="DI163" s="123">
        <f t="shared" si="309"/>
        <v>11850</v>
      </c>
      <c r="DJ163" s="2">
        <f t="shared" si="428"/>
        <v>0</v>
      </c>
      <c r="DK163" s="127">
        <f>DK169/12*6</f>
        <v>3900</v>
      </c>
      <c r="DL163" s="2">
        <f t="shared" si="429"/>
        <v>650</v>
      </c>
      <c r="DM163" s="130">
        <f t="shared" si="430"/>
        <v>0</v>
      </c>
      <c r="DN163" s="3">
        <f>DN169/12*6</f>
        <v>1500</v>
      </c>
      <c r="DO163" s="130">
        <f t="shared" si="431"/>
        <v>250</v>
      </c>
      <c r="DP163" s="4">
        <f t="shared" si="432"/>
        <v>0</v>
      </c>
      <c r="DQ163" s="116">
        <f t="shared" si="433"/>
        <v>6450</v>
      </c>
      <c r="DR163" s="116">
        <f t="shared" si="438"/>
        <v>1350</v>
      </c>
    </row>
    <row r="164" spans="1:122" ht="15" customHeight="1" thickBot="1" x14ac:dyDescent="0.2">
      <c r="A164" s="416"/>
      <c r="B164" s="16">
        <v>48305</v>
      </c>
      <c r="C164" s="207">
        <f>'PV-Felder'!$I$5</f>
        <v>2887.3</v>
      </c>
      <c r="D164" s="351"/>
      <c r="E164" s="61">
        <v>0</v>
      </c>
      <c r="F164" s="351"/>
      <c r="G164" s="56" t="e">
        <f t="shared" ca="1" si="339"/>
        <v>#N/A</v>
      </c>
      <c r="H164" s="351"/>
      <c r="I164" s="61">
        <v>0</v>
      </c>
      <c r="J164" s="351"/>
      <c r="K164" s="61">
        <v>0</v>
      </c>
      <c r="L164" s="351"/>
      <c r="M164" s="65">
        <f t="shared" si="358"/>
        <v>0</v>
      </c>
      <c r="N164" s="373"/>
      <c r="O164" s="288"/>
      <c r="P164" s="288"/>
      <c r="Q164" s="286">
        <f t="shared" si="340"/>
        <v>0</v>
      </c>
      <c r="R164" s="334"/>
      <c r="S164" s="61">
        <v>0</v>
      </c>
      <c r="T164" s="376"/>
      <c r="U164" s="61">
        <v>0</v>
      </c>
      <c r="V164" s="342"/>
      <c r="W164" s="61">
        <v>0</v>
      </c>
      <c r="X164" s="342"/>
      <c r="Y164" s="211" t="e">
        <f t="shared" si="272"/>
        <v>#N/A</v>
      </c>
      <c r="Z164" s="370"/>
      <c r="AA164" s="61">
        <v>0</v>
      </c>
      <c r="AB164" s="351"/>
      <c r="AC164" s="61">
        <v>0</v>
      </c>
      <c r="AD164" s="351"/>
      <c r="AE164" s="73" t="e">
        <f t="shared" si="303"/>
        <v>#N/A</v>
      </c>
      <c r="AF164" s="356"/>
      <c r="AG164" s="73" t="e">
        <f t="shared" si="304"/>
        <v>#N/A</v>
      </c>
      <c r="AH164" s="356"/>
      <c r="AI164" s="221">
        <f t="shared" si="434"/>
        <v>29.26</v>
      </c>
      <c r="AJ164" s="78">
        <f t="shared" ref="AJ164:AP164" si="442">AJ163</f>
        <v>0.26750000000000002</v>
      </c>
      <c r="AK164" s="79">
        <f t="shared" si="442"/>
        <v>9.9166666666666661</v>
      </c>
      <c r="AL164" s="80">
        <f t="shared" si="442"/>
        <v>187</v>
      </c>
      <c r="AM164" s="78">
        <f t="shared" si="442"/>
        <v>9.737942583732058E-2</v>
      </c>
      <c r="AN164" s="80">
        <f t="shared" si="442"/>
        <v>143</v>
      </c>
      <c r="AO164" s="78">
        <f t="shared" si="442"/>
        <v>0.21099999999999999</v>
      </c>
      <c r="AP164" s="88">
        <f t="shared" si="442"/>
        <v>12</v>
      </c>
      <c r="AQ164" s="64">
        <f t="shared" si="364"/>
        <v>21.5</v>
      </c>
      <c r="AR164" s="64">
        <f t="shared" si="365"/>
        <v>11.5</v>
      </c>
      <c r="AS164" s="88">
        <f t="shared" si="366"/>
        <v>1.1830000000000001</v>
      </c>
      <c r="AT164" s="91">
        <f t="shared" si="420"/>
        <v>283</v>
      </c>
      <c r="AU164" s="94"/>
      <c r="AV164" s="95"/>
      <c r="AW164" s="56">
        <f t="shared" si="342"/>
        <v>0</v>
      </c>
      <c r="AX164" s="351"/>
      <c r="AY164" s="100">
        <f t="shared" si="371"/>
        <v>9.9166666666666661</v>
      </c>
      <c r="AZ164" s="360"/>
      <c r="BA164" s="91">
        <f t="shared" si="426"/>
        <v>-1541.6958803333357</v>
      </c>
      <c r="BB164" s="5">
        <f t="shared" si="306"/>
        <v>-9.9166666666666661</v>
      </c>
      <c r="BC164" s="363"/>
      <c r="BD164" s="91" t="e">
        <f t="shared" ca="1" si="343"/>
        <v>#N/A</v>
      </c>
      <c r="BE164" s="91" t="e">
        <f t="shared" ca="1" si="344"/>
        <v>#N/A</v>
      </c>
      <c r="BF164" s="91">
        <f t="shared" si="345"/>
        <v>31.833333333333329</v>
      </c>
      <c r="BG164" s="91" t="e">
        <f t="shared" ca="1" si="346"/>
        <v>#N/A</v>
      </c>
      <c r="BH164" s="91" t="e">
        <f t="shared" ca="1" si="392"/>
        <v>#N/A</v>
      </c>
      <c r="BI164" s="10" t="e">
        <f t="shared" ca="1" si="360"/>
        <v>#N/A</v>
      </c>
      <c r="BJ164" s="104">
        <f>((M164+Q164)*AJ164+AK164)+((U164-W164+W164/('Vergleich Holz Strom'!$B$8-0.6))*AO164+AP164)</f>
        <v>21.916666666666664</v>
      </c>
      <c r="BK164" s="10" t="e">
        <f t="shared" ca="1" si="307"/>
        <v>#N/A</v>
      </c>
      <c r="BL164" s="379"/>
      <c r="BM164" s="104" t="e">
        <f t="shared" ca="1" si="356"/>
        <v>#N/A</v>
      </c>
      <c r="BN164" s="40" t="e">
        <f ca="1">IF(ISNUMBER(BK164),BN163+SUMIF(BK158:BK169,"&lt;&gt;#NV",BK158:BK169)/COUNTIF(BK158:BK169,"&lt;&gt;#NV"),#N/A)</f>
        <v>#N/A</v>
      </c>
      <c r="BO164" s="10" t="e">
        <f t="shared" ca="1" si="422"/>
        <v>#N/A</v>
      </c>
      <c r="BP164" s="104" t="e">
        <f t="shared" ca="1" si="308"/>
        <v>#N/A</v>
      </c>
      <c r="BQ164" s="104">
        <f t="shared" ca="1" si="319"/>
        <v>-60194.313520936645</v>
      </c>
      <c r="BR164" s="10">
        <f t="shared" si="347"/>
        <v>9.9166666666666661</v>
      </c>
      <c r="BS164" s="311"/>
      <c r="BT164" s="307"/>
      <c r="BU164" s="295">
        <f t="shared" si="348"/>
        <v>0</v>
      </c>
      <c r="BV164" s="323"/>
      <c r="BW164" s="299">
        <f t="shared" si="349"/>
        <v>0</v>
      </c>
      <c r="BX164" s="295">
        <f t="shared" si="350"/>
        <v>0</v>
      </c>
      <c r="BY164" s="382"/>
      <c r="BZ164" s="299">
        <f t="shared" si="357"/>
        <v>0</v>
      </c>
      <c r="CA164" s="295">
        <f t="shared" si="362"/>
        <v>0</v>
      </c>
      <c r="CB164" s="323"/>
      <c r="CC164" s="314">
        <f t="shared" si="436"/>
        <v>0</v>
      </c>
      <c r="CD164" s="326"/>
      <c r="CE164" s="299">
        <f t="shared" si="351"/>
        <v>0</v>
      </c>
      <c r="CF164" s="284">
        <f t="shared" si="437"/>
        <v>0</v>
      </c>
      <c r="CG164" s="323"/>
      <c r="CH164" s="302">
        <f t="shared" si="389"/>
        <v>0</v>
      </c>
      <c r="CI164" s="108">
        <f t="shared" si="352"/>
        <v>0</v>
      </c>
      <c r="CJ164" s="200">
        <f t="shared" si="353"/>
        <v>0</v>
      </c>
      <c r="CK164" s="197">
        <f t="shared" si="369"/>
        <v>0</v>
      </c>
      <c r="CL164" s="203">
        <f t="shared" si="354"/>
        <v>12</v>
      </c>
      <c r="CM164" s="4">
        <f>U164*Jahresdaten!$AD$2</f>
        <v>0</v>
      </c>
      <c r="CN164" s="112">
        <f>CJ164*Jahresdaten!$AD$2</f>
        <v>0</v>
      </c>
      <c r="CO164" s="366"/>
      <c r="CP164" s="116">
        <f>U164*Jahresdaten!$AD$3</f>
        <v>0</v>
      </c>
      <c r="CQ164" s="12">
        <f>CJ164*Jahresdaten!$AD$3</f>
        <v>0</v>
      </c>
      <c r="CR164" s="353"/>
      <c r="CS164" s="14"/>
      <c r="CT164" s="136"/>
      <c r="CU164" s="140" t="str">
        <f>IF(CT164=0,"",CT164*'Vergleich Holz Strom'!$B$2)</f>
        <v/>
      </c>
      <c r="CV164" s="121" t="s">
        <v>6</v>
      </c>
      <c r="CW164" s="366"/>
      <c r="CX164" s="345"/>
      <c r="CY164" s="345"/>
      <c r="CZ164" s="345"/>
      <c r="DA164" s="348"/>
      <c r="DB164" s="94"/>
      <c r="DC164" s="88">
        <f t="shared" si="281"/>
        <v>26757.094666666617</v>
      </c>
      <c r="DD164" s="94"/>
      <c r="DE164" s="88">
        <f t="shared" si="284"/>
        <v>-20702.112547000001</v>
      </c>
      <c r="DF164" s="100" t="e">
        <f ca="1">BE164+(SUM(CS158:CS169)/12)</f>
        <v>#N/A</v>
      </c>
      <c r="DG164" s="351"/>
      <c r="DH164" s="8">
        <f t="shared" si="427"/>
        <v>0</v>
      </c>
      <c r="DI164" s="123">
        <f t="shared" si="309"/>
        <v>14000</v>
      </c>
      <c r="DJ164" s="2">
        <f t="shared" si="428"/>
        <v>0</v>
      </c>
      <c r="DK164" s="127">
        <f>DK169/12*7</f>
        <v>4550</v>
      </c>
      <c r="DL164" s="2">
        <f t="shared" si="429"/>
        <v>650</v>
      </c>
      <c r="DM164" s="130">
        <f t="shared" si="430"/>
        <v>0</v>
      </c>
      <c r="DN164" s="3">
        <f>DN169/12*7</f>
        <v>1750</v>
      </c>
      <c r="DO164" s="130">
        <f t="shared" si="431"/>
        <v>250</v>
      </c>
      <c r="DP164" s="4">
        <f t="shared" si="432"/>
        <v>0</v>
      </c>
      <c r="DQ164" s="116">
        <f t="shared" si="433"/>
        <v>7700</v>
      </c>
      <c r="DR164" s="116">
        <f t="shared" si="438"/>
        <v>1250</v>
      </c>
    </row>
    <row r="165" spans="1:122" ht="14.25" customHeight="1" thickBot="1" x14ac:dyDescent="0.2">
      <c r="A165" s="416"/>
      <c r="B165" s="16">
        <v>48335</v>
      </c>
      <c r="C165" s="207">
        <f>'PV-Felder'!$I$6</f>
        <v>3391.3999999999996</v>
      </c>
      <c r="D165" s="351"/>
      <c r="E165" s="61">
        <v>0</v>
      </c>
      <c r="F165" s="351"/>
      <c r="G165" s="56" t="e">
        <f t="shared" ca="1" si="339"/>
        <v>#N/A</v>
      </c>
      <c r="H165" s="351"/>
      <c r="I165" s="61">
        <v>0</v>
      </c>
      <c r="J165" s="351"/>
      <c r="K165" s="61">
        <v>0</v>
      </c>
      <c r="L165" s="351"/>
      <c r="M165" s="65">
        <f t="shared" si="358"/>
        <v>0</v>
      </c>
      <c r="N165" s="373"/>
      <c r="O165" s="288"/>
      <c r="P165" s="288"/>
      <c r="Q165" s="286">
        <f t="shared" si="340"/>
        <v>0</v>
      </c>
      <c r="R165" s="334"/>
      <c r="S165" s="61">
        <v>0</v>
      </c>
      <c r="T165" s="376"/>
      <c r="U165" s="61">
        <v>0</v>
      </c>
      <c r="V165" s="342"/>
      <c r="W165" s="61">
        <v>0</v>
      </c>
      <c r="X165" s="342"/>
      <c r="Y165" s="211" t="e">
        <f t="shared" si="272"/>
        <v>#N/A</v>
      </c>
      <c r="Z165" s="370"/>
      <c r="AA165" s="61">
        <v>0</v>
      </c>
      <c r="AB165" s="351"/>
      <c r="AC165" s="61">
        <v>0</v>
      </c>
      <c r="AD165" s="351"/>
      <c r="AE165" s="73" t="e">
        <f t="shared" si="303"/>
        <v>#N/A</v>
      </c>
      <c r="AF165" s="356"/>
      <c r="AG165" s="73" t="e">
        <f t="shared" si="304"/>
        <v>#N/A</v>
      </c>
      <c r="AH165" s="356"/>
      <c r="AI165" s="221">
        <f t="shared" si="434"/>
        <v>29.26</v>
      </c>
      <c r="AJ165" s="78">
        <f t="shared" ref="AJ165:AP165" si="443">AJ164</f>
        <v>0.26750000000000002</v>
      </c>
      <c r="AK165" s="79">
        <f t="shared" si="443"/>
        <v>9.9166666666666661</v>
      </c>
      <c r="AL165" s="80">
        <f t="shared" si="443"/>
        <v>187</v>
      </c>
      <c r="AM165" s="78">
        <f t="shared" si="443"/>
        <v>9.737942583732058E-2</v>
      </c>
      <c r="AN165" s="80">
        <f t="shared" si="443"/>
        <v>143</v>
      </c>
      <c r="AO165" s="78">
        <f t="shared" si="443"/>
        <v>0.21099999999999999</v>
      </c>
      <c r="AP165" s="88">
        <f t="shared" si="443"/>
        <v>12</v>
      </c>
      <c r="AQ165" s="64">
        <f t="shared" si="364"/>
        <v>21.5</v>
      </c>
      <c r="AR165" s="64">
        <f t="shared" si="365"/>
        <v>11.5</v>
      </c>
      <c r="AS165" s="88">
        <f t="shared" si="366"/>
        <v>1.1830000000000001</v>
      </c>
      <c r="AT165" s="91">
        <f t="shared" si="420"/>
        <v>283</v>
      </c>
      <c r="AU165" s="94"/>
      <c r="AV165" s="95"/>
      <c r="AW165" s="56">
        <f t="shared" si="342"/>
        <v>0</v>
      </c>
      <c r="AX165" s="351"/>
      <c r="AY165" s="100">
        <f t="shared" si="371"/>
        <v>9.9166666666666661</v>
      </c>
      <c r="AZ165" s="360"/>
      <c r="BA165" s="91">
        <f t="shared" si="426"/>
        <v>-1551.6125470000025</v>
      </c>
      <c r="BB165" s="5">
        <f t="shared" si="306"/>
        <v>-9.9166666666666661</v>
      </c>
      <c r="BC165" s="363"/>
      <c r="BD165" s="91" t="e">
        <f t="shared" ca="1" si="343"/>
        <v>#N/A</v>
      </c>
      <c r="BE165" s="91" t="e">
        <f t="shared" ca="1" si="344"/>
        <v>#N/A</v>
      </c>
      <c r="BF165" s="91">
        <f t="shared" si="345"/>
        <v>31.833333333333329</v>
      </c>
      <c r="BG165" s="91" t="e">
        <f t="shared" ca="1" si="346"/>
        <v>#N/A</v>
      </c>
      <c r="BH165" s="91" t="e">
        <f t="shared" ca="1" si="392"/>
        <v>#N/A</v>
      </c>
      <c r="BI165" s="10" t="e">
        <f t="shared" ca="1" si="360"/>
        <v>#N/A</v>
      </c>
      <c r="BJ165" s="104">
        <f>((M165+Q165)*AJ165+AK165)+((U165-W165+W165/('Vergleich Holz Strom'!$B$8-0.6))*AO165+AP165)</f>
        <v>21.916666666666664</v>
      </c>
      <c r="BK165" s="10" t="e">
        <f t="shared" ca="1" si="307"/>
        <v>#N/A</v>
      </c>
      <c r="BL165" s="379"/>
      <c r="BM165" s="104" t="e">
        <f t="shared" ca="1" si="356"/>
        <v>#N/A</v>
      </c>
      <c r="BN165" s="40" t="e">
        <f ca="1">IF(ISNUMBER(BK165),BN164+SUMIF(BK158:BK169,"&lt;&gt;#NV",BK158:BK169)/COUNTIF(BK158:BK169,"&lt;&gt;#NV"),#N/A)</f>
        <v>#N/A</v>
      </c>
      <c r="BO165" s="10" t="e">
        <f t="shared" ca="1" si="422"/>
        <v>#N/A</v>
      </c>
      <c r="BP165" s="104" t="e">
        <f t="shared" ca="1" si="308"/>
        <v>#N/A</v>
      </c>
      <c r="BQ165" s="104">
        <f t="shared" ca="1" si="319"/>
        <v>-60175.113520936633</v>
      </c>
      <c r="BR165" s="10">
        <f t="shared" si="347"/>
        <v>9.9166666666666661</v>
      </c>
      <c r="BS165" s="311"/>
      <c r="BT165" s="307"/>
      <c r="BU165" s="295">
        <f t="shared" si="348"/>
        <v>0</v>
      </c>
      <c r="BV165" s="323"/>
      <c r="BW165" s="299">
        <f t="shared" si="349"/>
        <v>0</v>
      </c>
      <c r="BX165" s="295">
        <f t="shared" si="350"/>
        <v>0</v>
      </c>
      <c r="BY165" s="382"/>
      <c r="BZ165" s="299">
        <f t="shared" si="357"/>
        <v>0</v>
      </c>
      <c r="CA165" s="295">
        <f t="shared" si="362"/>
        <v>0</v>
      </c>
      <c r="CB165" s="323"/>
      <c r="CC165" s="314">
        <f t="shared" si="436"/>
        <v>0</v>
      </c>
      <c r="CD165" s="326"/>
      <c r="CE165" s="299">
        <f t="shared" si="351"/>
        <v>0</v>
      </c>
      <c r="CF165" s="284">
        <f t="shared" si="437"/>
        <v>0</v>
      </c>
      <c r="CG165" s="323"/>
      <c r="CH165" s="302">
        <f t="shared" si="389"/>
        <v>0</v>
      </c>
      <c r="CI165" s="108">
        <f t="shared" si="352"/>
        <v>0</v>
      </c>
      <c r="CJ165" s="200">
        <f t="shared" si="353"/>
        <v>0</v>
      </c>
      <c r="CK165" s="197">
        <f t="shared" si="369"/>
        <v>0</v>
      </c>
      <c r="CL165" s="203">
        <f t="shared" si="354"/>
        <v>12</v>
      </c>
      <c r="CM165" s="4">
        <f>U165*Jahresdaten!$AD$2</f>
        <v>0</v>
      </c>
      <c r="CN165" s="112">
        <f>CJ165*Jahresdaten!$AD$2</f>
        <v>0</v>
      </c>
      <c r="CO165" s="366"/>
      <c r="CP165" s="116">
        <f>U165*Jahresdaten!$AD$3</f>
        <v>0</v>
      </c>
      <c r="CQ165" s="12">
        <f>CJ165*Jahresdaten!$AD$3</f>
        <v>0</v>
      </c>
      <c r="CR165" s="353"/>
      <c r="CS165" s="14"/>
      <c r="CT165" s="136"/>
      <c r="CU165" s="140" t="str">
        <f>IF(CT165=0,"",CT165*'Vergleich Holz Strom'!$B$2)</f>
        <v/>
      </c>
      <c r="CV165" s="353">
        <f>SUM(CS158:CS169)</f>
        <v>1169</v>
      </c>
      <c r="CW165" s="366"/>
      <c r="CX165" s="345"/>
      <c r="CY165" s="345"/>
      <c r="CZ165" s="345"/>
      <c r="DA165" s="348"/>
      <c r="DB165" s="94"/>
      <c r="DC165" s="88">
        <f t="shared" si="281"/>
        <v>26934.177999999949</v>
      </c>
      <c r="DD165" s="94"/>
      <c r="DE165" s="88">
        <f t="shared" si="284"/>
        <v>-20845.112547000001</v>
      </c>
      <c r="DF165" s="100" t="e">
        <f ca="1">BE165+(SUM(CS158:CS169)/12)</f>
        <v>#N/A</v>
      </c>
      <c r="DG165" s="351"/>
      <c r="DH165" s="8">
        <f t="shared" si="427"/>
        <v>0</v>
      </c>
      <c r="DI165" s="123">
        <f t="shared" si="309"/>
        <v>16000</v>
      </c>
      <c r="DJ165" s="2">
        <f t="shared" si="428"/>
        <v>0</v>
      </c>
      <c r="DK165" s="127">
        <f>DK169/12*8</f>
        <v>5200</v>
      </c>
      <c r="DL165" s="2">
        <f t="shared" si="429"/>
        <v>650</v>
      </c>
      <c r="DM165" s="130">
        <f t="shared" si="430"/>
        <v>0</v>
      </c>
      <c r="DN165" s="3">
        <f>DN169/12*8</f>
        <v>2000</v>
      </c>
      <c r="DO165" s="130">
        <f t="shared" si="431"/>
        <v>250</v>
      </c>
      <c r="DP165" s="4">
        <f t="shared" si="432"/>
        <v>0</v>
      </c>
      <c r="DQ165" s="116">
        <f t="shared" si="433"/>
        <v>8800</v>
      </c>
      <c r="DR165" s="116">
        <f t="shared" si="438"/>
        <v>1100</v>
      </c>
    </row>
    <row r="166" spans="1:122" ht="14.25" customHeight="1" thickBot="1" x14ac:dyDescent="0.2">
      <c r="A166" s="416"/>
      <c r="B166" s="16">
        <v>48366</v>
      </c>
      <c r="C166" s="207">
        <f>'PV-Felder'!$I$7</f>
        <v>3595.6000000000004</v>
      </c>
      <c r="D166" s="351"/>
      <c r="E166" s="61">
        <v>0</v>
      </c>
      <c r="F166" s="351"/>
      <c r="G166" s="56" t="e">
        <f t="shared" ca="1" si="339"/>
        <v>#N/A</v>
      </c>
      <c r="H166" s="351"/>
      <c r="I166" s="61">
        <v>0</v>
      </c>
      <c r="J166" s="351"/>
      <c r="K166" s="61">
        <v>0</v>
      </c>
      <c r="L166" s="351"/>
      <c r="M166" s="65">
        <f t="shared" si="358"/>
        <v>0</v>
      </c>
      <c r="N166" s="373"/>
      <c r="O166" s="288"/>
      <c r="P166" s="288"/>
      <c r="Q166" s="286">
        <f t="shared" si="340"/>
        <v>0</v>
      </c>
      <c r="R166" s="334"/>
      <c r="S166" s="61">
        <v>0</v>
      </c>
      <c r="T166" s="376"/>
      <c r="U166" s="61">
        <v>0</v>
      </c>
      <c r="V166" s="342"/>
      <c r="W166" s="61">
        <v>0</v>
      </c>
      <c r="X166" s="342"/>
      <c r="Y166" s="211" t="e">
        <f t="shared" ref="Y166:Y229" si="444">IF(M166+S166+U166&gt;0,M166+S166+U166,#N/A)</f>
        <v>#N/A</v>
      </c>
      <c r="Z166" s="370"/>
      <c r="AA166" s="61">
        <v>0</v>
      </c>
      <c r="AB166" s="351"/>
      <c r="AC166" s="61">
        <v>0</v>
      </c>
      <c r="AD166" s="351"/>
      <c r="AE166" s="73" t="e">
        <f t="shared" si="303"/>
        <v>#N/A</v>
      </c>
      <c r="AF166" s="356"/>
      <c r="AG166" s="73" t="e">
        <f t="shared" si="304"/>
        <v>#N/A</v>
      </c>
      <c r="AH166" s="356"/>
      <c r="AI166" s="221">
        <f t="shared" si="434"/>
        <v>29.26</v>
      </c>
      <c r="AJ166" s="78">
        <f t="shared" ref="AJ166:AP166" si="445">AJ165</f>
        <v>0.26750000000000002</v>
      </c>
      <c r="AK166" s="79">
        <f t="shared" si="445"/>
        <v>9.9166666666666661</v>
      </c>
      <c r="AL166" s="80">
        <f t="shared" si="445"/>
        <v>187</v>
      </c>
      <c r="AM166" s="78">
        <f t="shared" si="445"/>
        <v>9.737942583732058E-2</v>
      </c>
      <c r="AN166" s="80">
        <f t="shared" si="445"/>
        <v>143</v>
      </c>
      <c r="AO166" s="78">
        <f t="shared" si="445"/>
        <v>0.21099999999999999</v>
      </c>
      <c r="AP166" s="88">
        <f t="shared" si="445"/>
        <v>12</v>
      </c>
      <c r="AQ166" s="64">
        <f t="shared" si="364"/>
        <v>21.5</v>
      </c>
      <c r="AR166" s="64">
        <f t="shared" si="365"/>
        <v>11.5</v>
      </c>
      <c r="AS166" s="88">
        <f t="shared" si="366"/>
        <v>1.1830000000000001</v>
      </c>
      <c r="AT166" s="91">
        <f t="shared" si="420"/>
        <v>283</v>
      </c>
      <c r="AU166" s="94"/>
      <c r="AV166" s="95"/>
      <c r="AW166" s="56">
        <f t="shared" si="342"/>
        <v>0</v>
      </c>
      <c r="AX166" s="351"/>
      <c r="AY166" s="100">
        <f t="shared" si="371"/>
        <v>9.9166666666666661</v>
      </c>
      <c r="AZ166" s="360"/>
      <c r="BA166" s="91">
        <f t="shared" si="426"/>
        <v>-1561.5292136666692</v>
      </c>
      <c r="BB166" s="5">
        <f t="shared" si="306"/>
        <v>-9.9166666666666661</v>
      </c>
      <c r="BC166" s="363"/>
      <c r="BD166" s="91" t="e">
        <f t="shared" ca="1" si="343"/>
        <v>#N/A</v>
      </c>
      <c r="BE166" s="91" t="e">
        <f t="shared" ca="1" si="344"/>
        <v>#N/A</v>
      </c>
      <c r="BF166" s="91">
        <f t="shared" si="345"/>
        <v>31.833333333333329</v>
      </c>
      <c r="BG166" s="91" t="e">
        <f t="shared" ca="1" si="346"/>
        <v>#N/A</v>
      </c>
      <c r="BH166" s="91" t="e">
        <f t="shared" ca="1" si="392"/>
        <v>#N/A</v>
      </c>
      <c r="BI166" s="10" t="e">
        <f t="shared" ca="1" si="360"/>
        <v>#N/A</v>
      </c>
      <c r="BJ166" s="104">
        <f>((M166+Q166)*AJ166+AK166)+((U166-W166+W166/('Vergleich Holz Strom'!$B$8-0.6))*AO166+AP166)</f>
        <v>21.916666666666664</v>
      </c>
      <c r="BK166" s="10" t="e">
        <f t="shared" ca="1" si="307"/>
        <v>#N/A</v>
      </c>
      <c r="BL166" s="379"/>
      <c r="BM166" s="104" t="e">
        <f t="shared" ca="1" si="356"/>
        <v>#N/A</v>
      </c>
      <c r="BN166" s="40" t="e">
        <f ca="1">IF(ISNUMBER(BK166),BN165+SUMIF(BK158:BK169,"&lt;&gt;#NV",BK158:BK169)/COUNTIF(BK158:BK169,"&lt;&gt;#NV"),#N/A)</f>
        <v>#N/A</v>
      </c>
      <c r="BO166" s="10" t="e">
        <f t="shared" ca="1" si="422"/>
        <v>#N/A</v>
      </c>
      <c r="BP166" s="104" t="e">
        <f t="shared" ca="1" si="308"/>
        <v>#N/A</v>
      </c>
      <c r="BQ166" s="104">
        <f t="shared" ca="1" si="319"/>
        <v>-60158.911966295578</v>
      </c>
      <c r="BR166" s="10">
        <f t="shared" si="347"/>
        <v>9.9166666666666661</v>
      </c>
      <c r="BS166" s="311"/>
      <c r="BT166" s="307"/>
      <c r="BU166" s="295">
        <f t="shared" si="348"/>
        <v>0</v>
      </c>
      <c r="BV166" s="323"/>
      <c r="BW166" s="299">
        <f t="shared" si="349"/>
        <v>0</v>
      </c>
      <c r="BX166" s="295">
        <f t="shared" si="350"/>
        <v>0</v>
      </c>
      <c r="BY166" s="382"/>
      <c r="BZ166" s="299">
        <f t="shared" si="357"/>
        <v>0</v>
      </c>
      <c r="CA166" s="295">
        <f t="shared" si="362"/>
        <v>0</v>
      </c>
      <c r="CB166" s="323"/>
      <c r="CC166" s="314">
        <f t="shared" si="436"/>
        <v>0</v>
      </c>
      <c r="CD166" s="326"/>
      <c r="CE166" s="299">
        <f t="shared" si="351"/>
        <v>0</v>
      </c>
      <c r="CF166" s="284">
        <f t="shared" si="437"/>
        <v>0</v>
      </c>
      <c r="CG166" s="323"/>
      <c r="CH166" s="302">
        <f t="shared" si="389"/>
        <v>0</v>
      </c>
      <c r="CI166" s="108">
        <f t="shared" si="352"/>
        <v>0</v>
      </c>
      <c r="CJ166" s="200">
        <f t="shared" si="353"/>
        <v>0</v>
      </c>
      <c r="CK166" s="197">
        <f t="shared" si="369"/>
        <v>0</v>
      </c>
      <c r="CL166" s="203">
        <f t="shared" si="354"/>
        <v>12</v>
      </c>
      <c r="CM166" s="4">
        <f>U166*Jahresdaten!$AD$2</f>
        <v>0</v>
      </c>
      <c r="CN166" s="112">
        <f>CJ166*Jahresdaten!$AD$2</f>
        <v>0</v>
      </c>
      <c r="CO166" s="366"/>
      <c r="CP166" s="116">
        <f>U166*Jahresdaten!$AD$3</f>
        <v>0</v>
      </c>
      <c r="CQ166" s="12">
        <f>CJ166*Jahresdaten!$AD$3</f>
        <v>0</v>
      </c>
      <c r="CR166" s="353"/>
      <c r="CS166" s="14"/>
      <c r="CT166" s="136"/>
      <c r="CU166" s="140" t="str">
        <f>IF(CT166=0,"",CT166*'Vergleich Holz Strom'!$B$2)</f>
        <v/>
      </c>
      <c r="CV166" s="353"/>
      <c r="CW166" s="366"/>
      <c r="CX166" s="345"/>
      <c r="CY166" s="345"/>
      <c r="CZ166" s="345"/>
      <c r="DA166" s="348"/>
      <c r="DB166" s="94"/>
      <c r="DC166" s="88">
        <f t="shared" si="281"/>
        <v>27111.261333333281</v>
      </c>
      <c r="DD166" s="94"/>
      <c r="DE166" s="88">
        <f t="shared" si="284"/>
        <v>-20988.112547000001</v>
      </c>
      <c r="DF166" s="100" t="e">
        <f ca="1">BE166+(SUM(CS158:CS169)/12)</f>
        <v>#N/A</v>
      </c>
      <c r="DG166" s="351"/>
      <c r="DH166" s="8">
        <f t="shared" si="427"/>
        <v>0</v>
      </c>
      <c r="DI166" s="123">
        <f t="shared" si="309"/>
        <v>17200</v>
      </c>
      <c r="DJ166" s="2">
        <f t="shared" si="428"/>
        <v>0</v>
      </c>
      <c r="DK166" s="127">
        <f>DK169/12*9</f>
        <v>5850</v>
      </c>
      <c r="DL166" s="2">
        <f t="shared" si="429"/>
        <v>650</v>
      </c>
      <c r="DM166" s="130">
        <f t="shared" si="430"/>
        <v>0</v>
      </c>
      <c r="DN166" s="3">
        <f>DN169/12*9</f>
        <v>2250</v>
      </c>
      <c r="DO166" s="130">
        <f t="shared" si="431"/>
        <v>250</v>
      </c>
      <c r="DP166" s="4">
        <f t="shared" si="432"/>
        <v>0</v>
      </c>
      <c r="DQ166" s="116">
        <f t="shared" si="433"/>
        <v>9100</v>
      </c>
      <c r="DR166" s="116">
        <f t="shared" si="438"/>
        <v>300</v>
      </c>
    </row>
    <row r="167" spans="1:122" ht="14.25" customHeight="1" thickBot="1" x14ac:dyDescent="0.2">
      <c r="A167" s="416"/>
      <c r="B167" s="16">
        <v>48396</v>
      </c>
      <c r="C167" s="207">
        <f>'PV-Felder'!$I$8</f>
        <v>3593.8</v>
      </c>
      <c r="D167" s="351"/>
      <c r="E167" s="61">
        <v>0</v>
      </c>
      <c r="F167" s="351"/>
      <c r="G167" s="56" t="e">
        <f t="shared" ca="1" si="339"/>
        <v>#N/A</v>
      </c>
      <c r="H167" s="351"/>
      <c r="I167" s="61">
        <v>0</v>
      </c>
      <c r="J167" s="351"/>
      <c r="K167" s="61">
        <v>0</v>
      </c>
      <c r="L167" s="351"/>
      <c r="M167" s="65">
        <f t="shared" si="358"/>
        <v>0</v>
      </c>
      <c r="N167" s="373"/>
      <c r="O167" s="288"/>
      <c r="P167" s="288"/>
      <c r="Q167" s="286">
        <f t="shared" si="340"/>
        <v>0</v>
      </c>
      <c r="R167" s="334"/>
      <c r="S167" s="61">
        <v>0</v>
      </c>
      <c r="T167" s="376"/>
      <c r="U167" s="61">
        <v>0</v>
      </c>
      <c r="V167" s="342"/>
      <c r="W167" s="61">
        <v>0</v>
      </c>
      <c r="X167" s="342"/>
      <c r="Y167" s="211" t="e">
        <f t="shared" si="444"/>
        <v>#N/A</v>
      </c>
      <c r="Z167" s="370"/>
      <c r="AA167" s="61">
        <v>0</v>
      </c>
      <c r="AB167" s="351"/>
      <c r="AC167" s="61">
        <v>0</v>
      </c>
      <c r="AD167" s="351"/>
      <c r="AE167" s="73" t="e">
        <f t="shared" si="303"/>
        <v>#N/A</v>
      </c>
      <c r="AF167" s="356"/>
      <c r="AG167" s="73" t="e">
        <f t="shared" si="304"/>
        <v>#N/A</v>
      </c>
      <c r="AH167" s="356"/>
      <c r="AI167" s="221">
        <f t="shared" si="434"/>
        <v>29.26</v>
      </c>
      <c r="AJ167" s="78">
        <f t="shared" ref="AJ167:AP167" si="446">AJ166</f>
        <v>0.26750000000000002</v>
      </c>
      <c r="AK167" s="79">
        <f t="shared" si="446"/>
        <v>9.9166666666666661</v>
      </c>
      <c r="AL167" s="80">
        <f t="shared" si="446"/>
        <v>187</v>
      </c>
      <c r="AM167" s="78">
        <f t="shared" si="446"/>
        <v>9.737942583732058E-2</v>
      </c>
      <c r="AN167" s="80">
        <f t="shared" si="446"/>
        <v>143</v>
      </c>
      <c r="AO167" s="78">
        <f t="shared" si="446"/>
        <v>0.21099999999999999</v>
      </c>
      <c r="AP167" s="88">
        <f t="shared" si="446"/>
        <v>12</v>
      </c>
      <c r="AQ167" s="64">
        <f t="shared" si="364"/>
        <v>21.5</v>
      </c>
      <c r="AR167" s="64">
        <f t="shared" si="365"/>
        <v>11.5</v>
      </c>
      <c r="AS167" s="88">
        <f t="shared" si="366"/>
        <v>1.1830000000000001</v>
      </c>
      <c r="AT167" s="91">
        <f t="shared" si="420"/>
        <v>283</v>
      </c>
      <c r="AU167" s="94"/>
      <c r="AV167" s="95"/>
      <c r="AW167" s="56">
        <f t="shared" si="342"/>
        <v>0</v>
      </c>
      <c r="AX167" s="351"/>
      <c r="AY167" s="100">
        <f t="shared" si="371"/>
        <v>9.9166666666666661</v>
      </c>
      <c r="AZ167" s="360"/>
      <c r="BA167" s="91">
        <f t="shared" si="426"/>
        <v>-1571.4458803333359</v>
      </c>
      <c r="BB167" s="5">
        <f t="shared" si="306"/>
        <v>-9.9166666666666661</v>
      </c>
      <c r="BC167" s="363"/>
      <c r="BD167" s="91" t="e">
        <f t="shared" ca="1" si="343"/>
        <v>#N/A</v>
      </c>
      <c r="BE167" s="91" t="e">
        <f t="shared" ca="1" si="344"/>
        <v>#N/A</v>
      </c>
      <c r="BF167" s="91">
        <f t="shared" si="345"/>
        <v>31.833333333333329</v>
      </c>
      <c r="BG167" s="91" t="e">
        <f t="shared" ca="1" si="346"/>
        <v>#N/A</v>
      </c>
      <c r="BH167" s="91" t="e">
        <f t="shared" ca="1" si="392"/>
        <v>#N/A</v>
      </c>
      <c r="BI167" s="10" t="e">
        <f t="shared" ca="1" si="360"/>
        <v>#N/A</v>
      </c>
      <c r="BJ167" s="104">
        <f>((M167+Q167)*AJ167+AK167)+((U167-W167+W167/('Vergleich Holz Strom'!$B$8-0.6))*AO167+AP167)</f>
        <v>21.916666666666664</v>
      </c>
      <c r="BK167" s="10" t="e">
        <f t="shared" ca="1" si="307"/>
        <v>#N/A</v>
      </c>
      <c r="BL167" s="379"/>
      <c r="BM167" s="104" t="e">
        <f t="shared" ca="1" si="356"/>
        <v>#N/A</v>
      </c>
      <c r="BN167" s="40" t="e">
        <f ca="1">IF(ISNUMBER(BK167),BN166+SUMIF(BK158:BK169,"&lt;&gt;#NV",BK158:BK169)/COUNTIF(BK158:BK169,"&lt;&gt;#NV"),#N/A)</f>
        <v>#N/A</v>
      </c>
      <c r="BO167" s="10" t="e">
        <f ca="1">BK167+AT167+AU167</f>
        <v>#N/A</v>
      </c>
      <c r="BP167" s="104" t="e">
        <f t="shared" ca="1" si="308"/>
        <v>#N/A</v>
      </c>
      <c r="BQ167" s="104">
        <f t="shared" ca="1" si="319"/>
        <v>-60142.710411654523</v>
      </c>
      <c r="BR167" s="10">
        <f t="shared" si="347"/>
        <v>9.9166666666666661</v>
      </c>
      <c r="BS167" s="311"/>
      <c r="BT167" s="307"/>
      <c r="BU167" s="295">
        <f t="shared" si="348"/>
        <v>0</v>
      </c>
      <c r="BV167" s="323"/>
      <c r="BW167" s="299">
        <f t="shared" si="349"/>
        <v>0</v>
      </c>
      <c r="BX167" s="295">
        <f t="shared" si="350"/>
        <v>0</v>
      </c>
      <c r="BY167" s="382"/>
      <c r="BZ167" s="299">
        <f t="shared" si="357"/>
        <v>0</v>
      </c>
      <c r="CA167" s="295">
        <f t="shared" si="362"/>
        <v>0</v>
      </c>
      <c r="CB167" s="323"/>
      <c r="CC167" s="314">
        <f t="shared" si="436"/>
        <v>0</v>
      </c>
      <c r="CD167" s="326"/>
      <c r="CE167" s="299">
        <f t="shared" si="351"/>
        <v>0</v>
      </c>
      <c r="CF167" s="284">
        <f t="shared" si="437"/>
        <v>0</v>
      </c>
      <c r="CG167" s="323"/>
      <c r="CH167" s="302">
        <f t="shared" si="389"/>
        <v>0</v>
      </c>
      <c r="CI167" s="108">
        <f t="shared" si="352"/>
        <v>0</v>
      </c>
      <c r="CJ167" s="200">
        <f t="shared" si="353"/>
        <v>0</v>
      </c>
      <c r="CK167" s="197">
        <f t="shared" si="369"/>
        <v>0</v>
      </c>
      <c r="CL167" s="203">
        <f t="shared" si="354"/>
        <v>12</v>
      </c>
      <c r="CM167" s="4">
        <f>U167*Jahresdaten!$AD$2</f>
        <v>0</v>
      </c>
      <c r="CN167" s="112">
        <f>CJ167*Jahresdaten!$AD$2</f>
        <v>0</v>
      </c>
      <c r="CO167" s="366"/>
      <c r="CP167" s="116">
        <f>U167*Jahresdaten!$AD$3</f>
        <v>0</v>
      </c>
      <c r="CQ167" s="12">
        <f>CJ167*Jahresdaten!$AD$3</f>
        <v>0</v>
      </c>
      <c r="CR167" s="353"/>
      <c r="CS167" s="14"/>
      <c r="CT167" s="136"/>
      <c r="CU167" s="140" t="str">
        <f>IF(CT167=0,"",CT167*'Vergleich Holz Strom'!$B$2)</f>
        <v/>
      </c>
      <c r="CV167" s="353"/>
      <c r="CW167" s="366"/>
      <c r="CX167" s="345"/>
      <c r="CY167" s="345"/>
      <c r="CZ167" s="345"/>
      <c r="DA167" s="348"/>
      <c r="DB167" s="94"/>
      <c r="DC167" s="88">
        <f t="shared" si="281"/>
        <v>27288.344666666613</v>
      </c>
      <c r="DD167" s="94"/>
      <c r="DE167" s="88">
        <f t="shared" si="284"/>
        <v>-21131.112547000001</v>
      </c>
      <c r="DF167" s="100" t="e">
        <f ca="1">BE167+(SUM(CS158:CS169)/12)</f>
        <v>#N/A</v>
      </c>
      <c r="DG167" s="351"/>
      <c r="DH167" s="8">
        <f t="shared" si="427"/>
        <v>0</v>
      </c>
      <c r="DI167" s="123">
        <f t="shared" si="309"/>
        <v>18250</v>
      </c>
      <c r="DJ167" s="2">
        <f t="shared" si="428"/>
        <v>0</v>
      </c>
      <c r="DK167" s="127">
        <f>DK169/12*10</f>
        <v>6500</v>
      </c>
      <c r="DL167" s="2">
        <f t="shared" si="429"/>
        <v>650</v>
      </c>
      <c r="DM167" s="130">
        <f t="shared" si="430"/>
        <v>0</v>
      </c>
      <c r="DN167" s="3">
        <f>DN169/12*10</f>
        <v>2500</v>
      </c>
      <c r="DO167" s="130">
        <f t="shared" si="431"/>
        <v>250</v>
      </c>
      <c r="DP167" s="4">
        <f t="shared" si="432"/>
        <v>0</v>
      </c>
      <c r="DQ167" s="116">
        <f t="shared" si="433"/>
        <v>9250</v>
      </c>
      <c r="DR167" s="116">
        <f t="shared" si="438"/>
        <v>150</v>
      </c>
    </row>
    <row r="168" spans="1:122" ht="14.25" customHeight="1" thickBot="1" x14ac:dyDescent="0.2">
      <c r="A168" s="416"/>
      <c r="B168" s="16">
        <v>48427</v>
      </c>
      <c r="C168" s="207">
        <f>'PV-Felder'!$I$9</f>
        <v>3065.7</v>
      </c>
      <c r="D168" s="351"/>
      <c r="E168" s="61">
        <v>0</v>
      </c>
      <c r="F168" s="351"/>
      <c r="G168" s="56" t="e">
        <f t="shared" ca="1" si="339"/>
        <v>#N/A</v>
      </c>
      <c r="H168" s="351"/>
      <c r="I168" s="61">
        <v>0</v>
      </c>
      <c r="J168" s="351"/>
      <c r="K168" s="61">
        <v>0</v>
      </c>
      <c r="L168" s="351"/>
      <c r="M168" s="65">
        <f t="shared" si="358"/>
        <v>0</v>
      </c>
      <c r="N168" s="373"/>
      <c r="O168" s="288"/>
      <c r="P168" s="288"/>
      <c r="Q168" s="286">
        <f t="shared" si="340"/>
        <v>0</v>
      </c>
      <c r="R168" s="334"/>
      <c r="S168" s="61">
        <v>0</v>
      </c>
      <c r="T168" s="376"/>
      <c r="U168" s="61">
        <v>0</v>
      </c>
      <c r="V168" s="342"/>
      <c r="W168" s="61">
        <v>0</v>
      </c>
      <c r="X168" s="342"/>
      <c r="Y168" s="211" t="e">
        <f t="shared" si="444"/>
        <v>#N/A</v>
      </c>
      <c r="Z168" s="370"/>
      <c r="AA168" s="61">
        <v>0</v>
      </c>
      <c r="AB168" s="351"/>
      <c r="AC168" s="61">
        <v>0</v>
      </c>
      <c r="AD168" s="351"/>
      <c r="AE168" s="73" t="e">
        <f t="shared" si="303"/>
        <v>#N/A</v>
      </c>
      <c r="AF168" s="356"/>
      <c r="AG168" s="73" t="e">
        <f t="shared" si="304"/>
        <v>#N/A</v>
      </c>
      <c r="AH168" s="356"/>
      <c r="AI168" s="221">
        <f t="shared" si="434"/>
        <v>29.26</v>
      </c>
      <c r="AJ168" s="78">
        <f t="shared" ref="AJ168:AP168" si="447">AJ167</f>
        <v>0.26750000000000002</v>
      </c>
      <c r="AK168" s="79">
        <f t="shared" si="447"/>
        <v>9.9166666666666661</v>
      </c>
      <c r="AL168" s="80">
        <f t="shared" si="447"/>
        <v>187</v>
      </c>
      <c r="AM168" s="78">
        <f t="shared" si="447"/>
        <v>9.737942583732058E-2</v>
      </c>
      <c r="AN168" s="80">
        <f t="shared" si="447"/>
        <v>143</v>
      </c>
      <c r="AO168" s="78">
        <f t="shared" si="447"/>
        <v>0.21099999999999999</v>
      </c>
      <c r="AP168" s="88">
        <f t="shared" si="447"/>
        <v>12</v>
      </c>
      <c r="AQ168" s="64">
        <f t="shared" si="364"/>
        <v>21.5</v>
      </c>
      <c r="AR168" s="64">
        <f t="shared" si="365"/>
        <v>11.5</v>
      </c>
      <c r="AS168" s="88">
        <f t="shared" si="366"/>
        <v>1.1830000000000001</v>
      </c>
      <c r="AT168" s="91">
        <f t="shared" si="420"/>
        <v>283</v>
      </c>
      <c r="AU168" s="94"/>
      <c r="AV168" s="95"/>
      <c r="AW168" s="56">
        <f t="shared" si="342"/>
        <v>0</v>
      </c>
      <c r="AX168" s="351"/>
      <c r="AY168" s="100">
        <f t="shared" si="371"/>
        <v>9.9166666666666661</v>
      </c>
      <c r="AZ168" s="360"/>
      <c r="BA168" s="91">
        <f t="shared" si="426"/>
        <v>-1581.3625470000027</v>
      </c>
      <c r="BB168" s="5">
        <f t="shared" si="306"/>
        <v>-9.9166666666666661</v>
      </c>
      <c r="BC168" s="363"/>
      <c r="BD168" s="91" t="e">
        <f t="shared" ca="1" si="343"/>
        <v>#N/A</v>
      </c>
      <c r="BE168" s="91" t="e">
        <f t="shared" ca="1" si="344"/>
        <v>#N/A</v>
      </c>
      <c r="BF168" s="91">
        <f t="shared" si="345"/>
        <v>31.833333333333329</v>
      </c>
      <c r="BG168" s="91" t="e">
        <f t="shared" ca="1" si="346"/>
        <v>#N/A</v>
      </c>
      <c r="BH168" s="91" t="e">
        <f t="shared" ca="1" si="392"/>
        <v>#N/A</v>
      </c>
      <c r="BI168" s="10" t="e">
        <f t="shared" ca="1" si="360"/>
        <v>#N/A</v>
      </c>
      <c r="BJ168" s="104">
        <f>((M168+Q168)*AJ168+AK168)+((U168-W168+W168/('Vergleich Holz Strom'!$B$8-0.6))*AO168+AP168)</f>
        <v>21.916666666666664</v>
      </c>
      <c r="BK168" s="10" t="e">
        <f t="shared" ca="1" si="307"/>
        <v>#N/A</v>
      </c>
      <c r="BL168" s="379"/>
      <c r="BM168" s="104" t="e">
        <f t="shared" ca="1" si="356"/>
        <v>#N/A</v>
      </c>
      <c r="BN168" s="40" t="e">
        <f ca="1">IF(ISNUMBER(BK168),BN167+SUMIF(BK158:BK169,"&lt;&gt;#NV",BK158:BK169)/COUNTIF(BK158:BK169,"&lt;&gt;#NV"),#N/A)</f>
        <v>#N/A</v>
      </c>
      <c r="BO168" s="10" t="e">
        <f t="shared" ref="BO168:BO178" ca="1" si="448">BK168+AT168+AU168</f>
        <v>#N/A</v>
      </c>
      <c r="BP168" s="104" t="e">
        <f t="shared" ca="1" si="308"/>
        <v>#N/A</v>
      </c>
      <c r="BQ168" s="104">
        <f t="shared" ca="1" si="319"/>
        <v>-60126.508857013469</v>
      </c>
      <c r="BR168" s="10">
        <f t="shared" si="347"/>
        <v>9.9166666666666661</v>
      </c>
      <c r="BS168" s="311"/>
      <c r="BT168" s="307"/>
      <c r="BU168" s="295">
        <f t="shared" si="348"/>
        <v>0</v>
      </c>
      <c r="BV168" s="323"/>
      <c r="BW168" s="299">
        <f t="shared" si="349"/>
        <v>0</v>
      </c>
      <c r="BX168" s="295">
        <f t="shared" si="350"/>
        <v>0</v>
      </c>
      <c r="BY168" s="382"/>
      <c r="BZ168" s="299">
        <f t="shared" si="357"/>
        <v>0</v>
      </c>
      <c r="CA168" s="295">
        <f t="shared" si="362"/>
        <v>0</v>
      </c>
      <c r="CB168" s="323"/>
      <c r="CC168" s="314">
        <f t="shared" si="436"/>
        <v>0</v>
      </c>
      <c r="CD168" s="326"/>
      <c r="CE168" s="299">
        <f t="shared" si="351"/>
        <v>0</v>
      </c>
      <c r="CF168" s="284">
        <f t="shared" si="437"/>
        <v>0</v>
      </c>
      <c r="CG168" s="323"/>
      <c r="CH168" s="302">
        <f t="shared" si="389"/>
        <v>0</v>
      </c>
      <c r="CI168" s="108">
        <f t="shared" si="352"/>
        <v>0</v>
      </c>
      <c r="CJ168" s="200">
        <f t="shared" si="353"/>
        <v>0</v>
      </c>
      <c r="CK168" s="197">
        <f t="shared" si="369"/>
        <v>0</v>
      </c>
      <c r="CL168" s="203">
        <f t="shared" si="354"/>
        <v>12</v>
      </c>
      <c r="CM168" s="4">
        <f>U168*Jahresdaten!$AD$2</f>
        <v>0</v>
      </c>
      <c r="CN168" s="112">
        <f>CJ168*Jahresdaten!$AD$2</f>
        <v>0</v>
      </c>
      <c r="CO168" s="366"/>
      <c r="CP168" s="116">
        <f>U168*Jahresdaten!$AD$3</f>
        <v>0</v>
      </c>
      <c r="CQ168" s="12">
        <f>CJ168*Jahresdaten!$AD$3</f>
        <v>0</v>
      </c>
      <c r="CR168" s="353"/>
      <c r="CS168" s="14"/>
      <c r="CT168" s="136"/>
      <c r="CU168" s="140" t="str">
        <f>IF(CT168=0,"",CT168*'Vergleich Holz Strom'!$B$2)</f>
        <v/>
      </c>
      <c r="CV168" s="353"/>
      <c r="CW168" s="366"/>
      <c r="CX168" s="345"/>
      <c r="CY168" s="345"/>
      <c r="CZ168" s="345"/>
      <c r="DA168" s="348"/>
      <c r="DB168" s="94"/>
      <c r="DC168" s="88">
        <f t="shared" si="281"/>
        <v>27465.427999999945</v>
      </c>
      <c r="DD168" s="94"/>
      <c r="DE168" s="88">
        <f t="shared" si="284"/>
        <v>-21274.112547000001</v>
      </c>
      <c r="DF168" s="100" t="e">
        <f ca="1">BE168+(SUM(CS158:CS169)/12)</f>
        <v>#N/A</v>
      </c>
      <c r="DG168" s="351"/>
      <c r="DH168" s="8">
        <f t="shared" si="427"/>
        <v>0</v>
      </c>
      <c r="DI168" s="123">
        <f t="shared" si="309"/>
        <v>19300</v>
      </c>
      <c r="DJ168" s="2">
        <f t="shared" si="428"/>
        <v>0</v>
      </c>
      <c r="DK168" s="127">
        <f>DK169/12*11</f>
        <v>7150</v>
      </c>
      <c r="DL168" s="2">
        <f t="shared" si="429"/>
        <v>650</v>
      </c>
      <c r="DM168" s="130">
        <f t="shared" si="430"/>
        <v>0</v>
      </c>
      <c r="DN168" s="3">
        <f>DN169/12*11</f>
        <v>2750</v>
      </c>
      <c r="DO168" s="130">
        <f t="shared" si="431"/>
        <v>250</v>
      </c>
      <c r="DP168" s="4">
        <f t="shared" si="432"/>
        <v>0</v>
      </c>
      <c r="DQ168" s="116">
        <f t="shared" si="433"/>
        <v>9400</v>
      </c>
      <c r="DR168" s="116">
        <f t="shared" si="438"/>
        <v>150</v>
      </c>
    </row>
    <row r="169" spans="1:122" s="28" customFormat="1" ht="15" customHeight="1" thickBot="1" x14ac:dyDescent="0.2">
      <c r="A169" s="417"/>
      <c r="B169" s="18">
        <v>48458</v>
      </c>
      <c r="C169" s="208">
        <f>'PV-Felder'!$I$10</f>
        <v>2246.7000000000003</v>
      </c>
      <c r="D169" s="352"/>
      <c r="E169" s="63">
        <v>0</v>
      </c>
      <c r="F169" s="352"/>
      <c r="G169" s="57" t="e">
        <f t="shared" ca="1" si="339"/>
        <v>#N/A</v>
      </c>
      <c r="H169" s="352"/>
      <c r="I169" s="63">
        <v>0</v>
      </c>
      <c r="J169" s="352"/>
      <c r="K169" s="63">
        <v>0</v>
      </c>
      <c r="L169" s="352"/>
      <c r="M169" s="67">
        <f t="shared" si="358"/>
        <v>0</v>
      </c>
      <c r="N169" s="374"/>
      <c r="O169" s="290"/>
      <c r="P169" s="290"/>
      <c r="Q169" s="289">
        <f t="shared" si="340"/>
        <v>0</v>
      </c>
      <c r="R169" s="334"/>
      <c r="S169" s="63">
        <v>0</v>
      </c>
      <c r="T169" s="377"/>
      <c r="U169" s="63">
        <v>0</v>
      </c>
      <c r="V169" s="343"/>
      <c r="W169" s="63">
        <v>0</v>
      </c>
      <c r="X169" s="343"/>
      <c r="Y169" s="213" t="e">
        <f t="shared" si="444"/>
        <v>#N/A</v>
      </c>
      <c r="Z169" s="371"/>
      <c r="AA169" s="63">
        <v>0</v>
      </c>
      <c r="AB169" s="352"/>
      <c r="AC169" s="63">
        <v>0</v>
      </c>
      <c r="AD169" s="352"/>
      <c r="AE169" s="75" t="e">
        <f t="shared" si="303"/>
        <v>#N/A</v>
      </c>
      <c r="AF169" s="357"/>
      <c r="AG169" s="75" t="e">
        <f t="shared" si="304"/>
        <v>#N/A</v>
      </c>
      <c r="AH169" s="357"/>
      <c r="AI169" s="223">
        <f>AI168</f>
        <v>29.26</v>
      </c>
      <c r="AJ169" s="83">
        <f t="shared" ref="AJ169:AP169" si="449">AJ168</f>
        <v>0.26750000000000002</v>
      </c>
      <c r="AK169" s="21">
        <f t="shared" si="449"/>
        <v>9.9166666666666661</v>
      </c>
      <c r="AL169" s="84">
        <f t="shared" si="449"/>
        <v>187</v>
      </c>
      <c r="AM169" s="83">
        <f t="shared" si="449"/>
        <v>9.737942583732058E-2</v>
      </c>
      <c r="AN169" s="84">
        <f t="shared" si="449"/>
        <v>143</v>
      </c>
      <c r="AO169" s="83">
        <f t="shared" si="449"/>
        <v>0.21099999999999999</v>
      </c>
      <c r="AP169" s="90">
        <f t="shared" si="449"/>
        <v>12</v>
      </c>
      <c r="AQ169" s="125">
        <f t="shared" si="364"/>
        <v>21.5</v>
      </c>
      <c r="AR169" s="125">
        <f t="shared" si="365"/>
        <v>11.5</v>
      </c>
      <c r="AS169" s="92">
        <f t="shared" si="366"/>
        <v>1.1830000000000001</v>
      </c>
      <c r="AT169" s="92">
        <f t="shared" si="420"/>
        <v>283</v>
      </c>
      <c r="AU169" s="98"/>
      <c r="AV169" s="99"/>
      <c r="AW169" s="57">
        <f t="shared" si="342"/>
        <v>0</v>
      </c>
      <c r="AX169" s="352"/>
      <c r="AY169" s="102">
        <f t="shared" si="371"/>
        <v>9.9166666666666661</v>
      </c>
      <c r="AZ169" s="361"/>
      <c r="BA169" s="92">
        <f t="shared" si="426"/>
        <v>-1591.2792136666694</v>
      </c>
      <c r="BB169" s="22">
        <f t="shared" si="306"/>
        <v>-9.9166666666666661</v>
      </c>
      <c r="BC169" s="364"/>
      <c r="BD169" s="92" t="e">
        <f t="shared" ca="1" si="343"/>
        <v>#N/A</v>
      </c>
      <c r="BE169" s="92" t="e">
        <f t="shared" ca="1" si="344"/>
        <v>#N/A</v>
      </c>
      <c r="BF169" s="92">
        <f t="shared" si="345"/>
        <v>31.833333333333329</v>
      </c>
      <c r="BG169" s="92" t="e">
        <f t="shared" ca="1" si="346"/>
        <v>#N/A</v>
      </c>
      <c r="BH169" s="92" t="e">
        <f t="shared" ca="1" si="392"/>
        <v>#N/A</v>
      </c>
      <c r="BI169" s="24" t="e">
        <f t="shared" ca="1" si="360"/>
        <v>#N/A</v>
      </c>
      <c r="BJ169" s="106">
        <f>((M169+Q169)*AJ169+AK169)+((U169-W169+W169/('Vergleich Holz Strom'!$B$8-0.6))*AO169+AP169)</f>
        <v>21.916666666666664</v>
      </c>
      <c r="BK169" s="24" t="e">
        <f t="shared" ca="1" si="307"/>
        <v>#N/A</v>
      </c>
      <c r="BL169" s="380"/>
      <c r="BM169" s="106" t="e">
        <f t="shared" ca="1" si="356"/>
        <v>#N/A</v>
      </c>
      <c r="BN169" s="226" t="e">
        <f ca="1">IF(ISNUMBER(BK169),BN168+SUMIF(BK158:BK169,"&lt;&gt;#NV",BK158:BK169)/COUNTIF(BK158:BK169,"&lt;&gt;#NV"),#N/A)</f>
        <v>#N/A</v>
      </c>
      <c r="BO169" s="318" t="e">
        <f t="shared" ca="1" si="448"/>
        <v>#N/A</v>
      </c>
      <c r="BP169" s="106" t="e">
        <f t="shared" ca="1" si="308"/>
        <v>#N/A</v>
      </c>
      <c r="BQ169" s="106">
        <f t="shared" ca="1" si="319"/>
        <v>-60110.307302372414</v>
      </c>
      <c r="BR169" s="24">
        <f t="shared" si="347"/>
        <v>9.9166666666666661</v>
      </c>
      <c r="BS169" s="312"/>
      <c r="BT169" s="308"/>
      <c r="BU169" s="296">
        <f t="shared" si="348"/>
        <v>0</v>
      </c>
      <c r="BV169" s="324"/>
      <c r="BW169" s="292">
        <f t="shared" si="349"/>
        <v>0</v>
      </c>
      <c r="BX169" s="295">
        <f t="shared" si="350"/>
        <v>0</v>
      </c>
      <c r="BY169" s="382"/>
      <c r="BZ169" s="299">
        <f t="shared" si="357"/>
        <v>0</v>
      </c>
      <c r="CA169" s="296">
        <f t="shared" si="362"/>
        <v>0</v>
      </c>
      <c r="CB169" s="324"/>
      <c r="CC169" s="315">
        <f t="shared" si="436"/>
        <v>0</v>
      </c>
      <c r="CD169" s="327"/>
      <c r="CE169" s="292">
        <f t="shared" si="351"/>
        <v>0</v>
      </c>
      <c r="CF169" s="296">
        <f t="shared" si="437"/>
        <v>0</v>
      </c>
      <c r="CG169" s="324"/>
      <c r="CH169" s="303">
        <f t="shared" si="389"/>
        <v>0</v>
      </c>
      <c r="CI169" s="110">
        <f t="shared" si="352"/>
        <v>0</v>
      </c>
      <c r="CJ169" s="200">
        <f t="shared" si="353"/>
        <v>0</v>
      </c>
      <c r="CK169" s="25">
        <f t="shared" si="369"/>
        <v>0</v>
      </c>
      <c r="CL169" s="204">
        <f t="shared" si="354"/>
        <v>12</v>
      </c>
      <c r="CM169" s="26">
        <f>U169*Jahresdaten!$AD$2</f>
        <v>0</v>
      </c>
      <c r="CN169" s="114">
        <f>CJ169*Jahresdaten!$AD$2</f>
        <v>0</v>
      </c>
      <c r="CO169" s="346"/>
      <c r="CP169" s="118">
        <f>U169*Jahresdaten!$AD$3</f>
        <v>0</v>
      </c>
      <c r="CQ169" s="25">
        <f>CJ169*Jahresdaten!$AD$3</f>
        <v>0</v>
      </c>
      <c r="CR169" s="354"/>
      <c r="CS169" s="23"/>
      <c r="CT169" s="138"/>
      <c r="CU169" s="141" t="str">
        <f>IF(CT169=0,"",CT169*'Vergleich Holz Strom'!$B$2)</f>
        <v/>
      </c>
      <c r="CV169" s="354"/>
      <c r="CW169" s="346"/>
      <c r="CX169" s="346"/>
      <c r="CY169" s="346"/>
      <c r="CZ169" s="346"/>
      <c r="DA169" s="349"/>
      <c r="DB169" s="98"/>
      <c r="DC169" s="90">
        <f t="shared" si="281"/>
        <v>27642.511333333277</v>
      </c>
      <c r="DD169" s="98"/>
      <c r="DE169" s="90">
        <f t="shared" si="284"/>
        <v>-21417.112547000001</v>
      </c>
      <c r="DF169" s="102" t="e">
        <f ca="1">BE169+(SUM(CS158:CS169)/12)</f>
        <v>#N/A</v>
      </c>
      <c r="DG169" s="352"/>
      <c r="DH169" s="19">
        <f t="shared" si="427"/>
        <v>0</v>
      </c>
      <c r="DI169" s="125">
        <f t="shared" si="309"/>
        <v>20800</v>
      </c>
      <c r="DJ169" s="20">
        <f t="shared" si="428"/>
        <v>0</v>
      </c>
      <c r="DK169" s="129">
        <f>DK157</f>
        <v>7800</v>
      </c>
      <c r="DL169" s="20">
        <f t="shared" si="429"/>
        <v>650</v>
      </c>
      <c r="DM169" s="132">
        <f t="shared" si="430"/>
        <v>0</v>
      </c>
      <c r="DN169" s="27">
        <f>DN157</f>
        <v>3000</v>
      </c>
      <c r="DO169" s="132">
        <f t="shared" si="431"/>
        <v>250</v>
      </c>
      <c r="DP169" s="26">
        <f t="shared" si="432"/>
        <v>0</v>
      </c>
      <c r="DQ169" s="118">
        <f>DQ157</f>
        <v>10000</v>
      </c>
      <c r="DR169" s="118">
        <f>DR157</f>
        <v>600</v>
      </c>
    </row>
    <row r="170" spans="1:122" ht="15" customHeight="1" thickBot="1" x14ac:dyDescent="0.2">
      <c r="A170" s="415" t="s">
        <v>172</v>
      </c>
      <c r="B170" s="16">
        <v>48488</v>
      </c>
      <c r="C170" s="207">
        <f>'PV-Felder'!$I$11</f>
        <v>1416.7</v>
      </c>
      <c r="D170" s="358">
        <f>SUMIF(E170:E181,"&gt;0",C170:C181)</f>
        <v>0</v>
      </c>
      <c r="E170" s="61">
        <v>0</v>
      </c>
      <c r="F170" s="368">
        <f>SUM(E170:E181)</f>
        <v>0</v>
      </c>
      <c r="G170" s="58" t="e">
        <f t="shared" ca="1" si="339"/>
        <v>#N/A</v>
      </c>
      <c r="H170" s="358" t="e">
        <f ca="1">IF(TODAY()&lt;B170,#N/A,F170-D170)</f>
        <v>#N/A</v>
      </c>
      <c r="I170" s="61">
        <v>0</v>
      </c>
      <c r="J170" s="368">
        <f>SUM(I170:I181)</f>
        <v>0</v>
      </c>
      <c r="K170" s="61">
        <v>0</v>
      </c>
      <c r="L170" s="368">
        <f>SUM(K170:K181)</f>
        <v>0</v>
      </c>
      <c r="M170" s="66">
        <f t="shared" si="358"/>
        <v>0</v>
      </c>
      <c r="N170" s="372">
        <f>SUM(M170:M181)</f>
        <v>0</v>
      </c>
      <c r="Q170" s="287">
        <f t="shared" si="340"/>
        <v>0</v>
      </c>
      <c r="R170" s="333">
        <f>SUM(Q170:Q181)</f>
        <v>0</v>
      </c>
      <c r="S170" s="61">
        <v>0</v>
      </c>
      <c r="T170" s="375">
        <f>SUM(S170:S181)</f>
        <v>0</v>
      </c>
      <c r="U170" s="61">
        <v>0</v>
      </c>
      <c r="V170" s="341">
        <f>SUM(U170:U181)</f>
        <v>0</v>
      </c>
      <c r="W170" s="61">
        <v>0</v>
      </c>
      <c r="X170" s="341">
        <f>SUM(W170:W181)</f>
        <v>0</v>
      </c>
      <c r="Y170" s="211" t="e">
        <f t="shared" si="444"/>
        <v>#N/A</v>
      </c>
      <c r="Z170" s="369">
        <f>N170+T170+V170</f>
        <v>0</v>
      </c>
      <c r="AA170" s="62">
        <v>0</v>
      </c>
      <c r="AB170" s="368">
        <f>SUM(AA170:AA181)</f>
        <v>0</v>
      </c>
      <c r="AC170" s="62">
        <v>0</v>
      </c>
      <c r="AD170" s="368">
        <f>SUM(AC170:AC181)</f>
        <v>0</v>
      </c>
      <c r="AE170" s="74" t="e">
        <f t="shared" si="303"/>
        <v>#N/A</v>
      </c>
      <c r="AF170" s="355" t="e">
        <f>IF(SUMIF(AE170:AE181,"&gt;0")&gt;0,SUMIF(AE170:AE181,"&gt;0")/COUNTIF(AE170:AE181,"&gt;0"),#N/A)</f>
        <v>#N/A</v>
      </c>
      <c r="AG170" s="73" t="e">
        <f t="shared" si="304"/>
        <v>#N/A</v>
      </c>
      <c r="AH170" s="355" t="e">
        <f>IF(SUMIF(AG170:AG181,"&gt;0")&gt;0,SUMIF(AG170:AG181,"&gt;0")/COUNTIF(AG170:AG181,"&gt;0"),#N/A)</f>
        <v>#N/A</v>
      </c>
      <c r="AI170" s="222">
        <f>AI169</f>
        <v>29.26</v>
      </c>
      <c r="AJ170" s="78">
        <f t="shared" ref="AJ170:AP170" si="450">AJ169</f>
        <v>0.26750000000000002</v>
      </c>
      <c r="AK170" s="79">
        <f t="shared" si="450"/>
        <v>9.9166666666666661</v>
      </c>
      <c r="AL170" s="80">
        <f t="shared" si="450"/>
        <v>187</v>
      </c>
      <c r="AM170" s="78">
        <f t="shared" si="450"/>
        <v>9.737942583732058E-2</v>
      </c>
      <c r="AN170" s="80">
        <f t="shared" si="450"/>
        <v>143</v>
      </c>
      <c r="AO170" s="78">
        <f t="shared" si="450"/>
        <v>0.21099999999999999</v>
      </c>
      <c r="AP170" s="88">
        <f t="shared" si="450"/>
        <v>12</v>
      </c>
      <c r="AQ170" s="64">
        <f t="shared" si="364"/>
        <v>21.5</v>
      </c>
      <c r="AR170" s="64">
        <f t="shared" si="365"/>
        <v>11.5</v>
      </c>
      <c r="AS170" s="88">
        <f t="shared" si="366"/>
        <v>1.1830000000000001</v>
      </c>
      <c r="AT170" s="91">
        <f t="shared" si="420"/>
        <v>283</v>
      </c>
      <c r="AU170" s="94"/>
      <c r="AV170" s="95"/>
      <c r="AW170" s="56">
        <f t="shared" si="342"/>
        <v>0</v>
      </c>
      <c r="AX170" s="358">
        <f>SUM(AW170:AW181)</f>
        <v>0</v>
      </c>
      <c r="AY170" s="100">
        <f t="shared" si="371"/>
        <v>9.9166666666666661</v>
      </c>
      <c r="AZ170" s="359">
        <f>SUM(AY170:AY181)</f>
        <v>119.00000000000001</v>
      </c>
      <c r="BA170" s="103">
        <f>BA169-AY170</f>
        <v>-1601.1958803333362</v>
      </c>
      <c r="BB170" s="5">
        <f t="shared" si="306"/>
        <v>-9.9166666666666661</v>
      </c>
      <c r="BC170" s="362">
        <f>SUM(AY170:AY181)/12</f>
        <v>9.9166666666666679</v>
      </c>
      <c r="BD170" s="91" t="e">
        <f t="shared" ca="1" si="343"/>
        <v>#N/A</v>
      </c>
      <c r="BE170" s="91" t="e">
        <f t="shared" ca="1" si="344"/>
        <v>#N/A</v>
      </c>
      <c r="BF170" s="91">
        <f t="shared" si="345"/>
        <v>31.833333333333329</v>
      </c>
      <c r="BG170" s="91" t="e">
        <f t="shared" ca="1" si="346"/>
        <v>#N/A</v>
      </c>
      <c r="BH170" s="91" t="e">
        <f t="shared" ca="1" si="392"/>
        <v>#N/A</v>
      </c>
      <c r="BI170" s="10" t="e">
        <f t="shared" ca="1" si="360"/>
        <v>#N/A</v>
      </c>
      <c r="BJ170" s="104">
        <f>((M170+Q170)*AJ170+AK170)+((U170-W170+W170/('Vergleich Holz Strom'!$B$8-0.6))*AO170+AP170)</f>
        <v>21.916666666666664</v>
      </c>
      <c r="BK170" s="10" t="e">
        <f t="shared" ca="1" si="307"/>
        <v>#N/A</v>
      </c>
      <c r="BL170" s="378">
        <f ca="1">SUMIF(BK170:BK181,"&lt;&gt;#NV",BK170:BK181)</f>
        <v>0</v>
      </c>
      <c r="BM170" s="104" t="e">
        <f t="shared" ca="1" si="356"/>
        <v>#N/A</v>
      </c>
      <c r="BN170" s="40" t="e">
        <f ca="1">IF(ISNUMBER(BK170),BN169+SUMIF(BK170:BK181,"&lt;&gt;#NV",BK170:BK181)/COUNTIF(BK170:BK181,"&lt;&gt;#NV"),#N/A)</f>
        <v>#N/A</v>
      </c>
      <c r="BO170" s="10" t="e">
        <f t="shared" ca="1" si="448"/>
        <v>#N/A</v>
      </c>
      <c r="BP170" s="105" t="e">
        <f t="shared" ca="1" si="308"/>
        <v>#N/A</v>
      </c>
      <c r="BQ170" s="104">
        <f t="shared" ca="1" si="319"/>
        <v>-60098.307302372414</v>
      </c>
      <c r="BR170" s="10">
        <f t="shared" si="347"/>
        <v>9.9166666666666661</v>
      </c>
      <c r="BS170" s="311"/>
      <c r="BT170" s="307"/>
      <c r="BU170" s="295">
        <f t="shared" si="348"/>
        <v>0</v>
      </c>
      <c r="BV170" s="322">
        <f>SUM(BU170:BU181)</f>
        <v>0</v>
      </c>
      <c r="BW170" s="300">
        <f t="shared" si="349"/>
        <v>0</v>
      </c>
      <c r="BX170" s="305">
        <f t="shared" si="350"/>
        <v>0</v>
      </c>
      <c r="BY170" s="381">
        <f>SUM(BX170:BX181)</f>
        <v>0</v>
      </c>
      <c r="BZ170" s="300">
        <f t="shared" si="357"/>
        <v>0</v>
      </c>
      <c r="CA170" s="295">
        <f t="shared" si="362"/>
        <v>0</v>
      </c>
      <c r="CB170" s="322">
        <f>SUM(CA170:CA181)</f>
        <v>0</v>
      </c>
      <c r="CC170" s="314">
        <f t="shared" si="436"/>
        <v>0</v>
      </c>
      <c r="CD170" s="325">
        <f>SUM(CC170:CC181)</f>
        <v>0</v>
      </c>
      <c r="CE170" s="299">
        <f t="shared" si="351"/>
        <v>0</v>
      </c>
      <c r="CF170" s="284">
        <f t="shared" si="437"/>
        <v>0</v>
      </c>
      <c r="CG170" s="328">
        <f>SUM(CF170:CF181)</f>
        <v>0</v>
      </c>
      <c r="CH170" s="302">
        <f t="shared" si="389"/>
        <v>0</v>
      </c>
      <c r="CI170" s="108">
        <f t="shared" si="352"/>
        <v>0</v>
      </c>
      <c r="CJ170" s="201">
        <f t="shared" si="353"/>
        <v>0</v>
      </c>
      <c r="CK170" s="197">
        <f t="shared" si="369"/>
        <v>0</v>
      </c>
      <c r="CL170" s="203">
        <f t="shared" si="354"/>
        <v>12</v>
      </c>
      <c r="CM170" s="4">
        <f>U170*Jahresdaten!$AD$2</f>
        <v>0</v>
      </c>
      <c r="CN170" s="112">
        <f>CJ170*Jahresdaten!$AD$2</f>
        <v>0</v>
      </c>
      <c r="CO170" s="365">
        <f>CW170*Jahresdaten!$AD$2</f>
        <v>856.59076092206669</v>
      </c>
      <c r="CP170" s="116">
        <f>U170*Jahresdaten!$AD$3</f>
        <v>0</v>
      </c>
      <c r="CQ170" s="12">
        <f>CJ170*Jahresdaten!$AD$3</f>
        <v>0</v>
      </c>
      <c r="CR170" s="367">
        <f>CW170*Jahresdaten!$AD$3</f>
        <v>312.40923907793319</v>
      </c>
      <c r="CS170" s="14">
        <f>CS158</f>
        <v>1169</v>
      </c>
      <c r="CT170" s="136">
        <f>CT158</f>
        <v>12</v>
      </c>
      <c r="CU170" s="140">
        <f>IF(CT170=0,"",CT170*'Vergleich Holz Strom'!$B$2)</f>
        <v>25800</v>
      </c>
      <c r="CV170" s="120" t="s">
        <v>7</v>
      </c>
      <c r="CW170" s="365">
        <f>CV171+CV177</f>
        <v>1169</v>
      </c>
      <c r="CX170" s="344">
        <f>SUM(CS170:CS181)/SUM(CU170:CU181)*(SUM(CU170:CU181)+(V170*('Vergleich Holz Strom'!$B$8-0.6)/'Vergleich Holz Strom'!$E$6))</f>
        <v>1169</v>
      </c>
      <c r="CY170" s="344">
        <f>SUM(CU170:CU181)*'Vergleich Holz Strom'!$E$6/('Vergleich Holz Strom'!$B$8-0.6)*(SUM(AJ170:AJ181)/12)+CV171</f>
        <v>1420.8970588235295</v>
      </c>
      <c r="CZ170" s="344">
        <f>SUM(CU170:CU181)*'Vergleich Holz Strom'!$E$6/('Vergleich Holz Strom'!$B$8-0.6)*SUM(AM170:AM181)/12+SUM(CK170:CK181)</f>
        <v>517.25659724176774</v>
      </c>
      <c r="DA170" s="347">
        <f>SUM(CU170:CU181)*'Vergleich Holz Strom'!$E$6/('Vergleich Holz Strom'!$B$8-0.6)*(SUM(AO170:AO181)/12)+SUM(CL170:CL181)</f>
        <v>1264.7823529411764</v>
      </c>
      <c r="DB170" s="94"/>
      <c r="DC170" s="88">
        <f t="shared" si="281"/>
        <v>27819.59466666661</v>
      </c>
      <c r="DD170" s="94"/>
      <c r="DE170" s="88">
        <f t="shared" si="284"/>
        <v>-21560.112547000001</v>
      </c>
      <c r="DF170" s="100" t="e">
        <f ca="1">BE170+(SUM(CS170:CS181)/12)</f>
        <v>#N/A</v>
      </c>
      <c r="DG170" s="350">
        <f ca="1">SUMIF(DF170:DF181,"&gt;0")</f>
        <v>0</v>
      </c>
      <c r="DH170" s="8">
        <f>M170+S170+U170</f>
        <v>0</v>
      </c>
      <c r="DI170" s="123">
        <f t="shared" si="309"/>
        <v>1850</v>
      </c>
      <c r="DJ170" s="2">
        <f>M170</f>
        <v>0</v>
      </c>
      <c r="DK170" s="127">
        <f>DK181/12*1</f>
        <v>650</v>
      </c>
      <c r="DL170" s="2">
        <f>DL169</f>
        <v>650</v>
      </c>
      <c r="DM170" s="130">
        <f>S170</f>
        <v>0</v>
      </c>
      <c r="DN170" s="3">
        <f>DN181/12*1</f>
        <v>250</v>
      </c>
      <c r="DO170" s="130">
        <f>DO169</f>
        <v>250</v>
      </c>
      <c r="DP170" s="4">
        <f>U170</f>
        <v>0</v>
      </c>
      <c r="DQ170" s="116">
        <f>DR170</f>
        <v>950</v>
      </c>
      <c r="DR170" s="116">
        <f>DR158</f>
        <v>950</v>
      </c>
    </row>
    <row r="171" spans="1:122" ht="14.25" customHeight="1" thickBot="1" x14ac:dyDescent="0.2">
      <c r="A171" s="416"/>
      <c r="B171" s="16">
        <v>48519</v>
      </c>
      <c r="C171" s="207">
        <f>'PV-Felder'!$I$12</f>
        <v>739.6</v>
      </c>
      <c r="D171" s="351"/>
      <c r="E171" s="61">
        <v>0</v>
      </c>
      <c r="F171" s="351"/>
      <c r="G171" s="56" t="e">
        <f t="shared" ca="1" si="339"/>
        <v>#N/A</v>
      </c>
      <c r="H171" s="351"/>
      <c r="I171" s="61">
        <v>0</v>
      </c>
      <c r="J171" s="351"/>
      <c r="K171" s="61">
        <v>0</v>
      </c>
      <c r="L171" s="351"/>
      <c r="M171" s="65">
        <f t="shared" si="358"/>
        <v>0</v>
      </c>
      <c r="N171" s="373"/>
      <c r="O171" s="288"/>
      <c r="P171" s="288"/>
      <c r="Q171" s="286">
        <f t="shared" si="340"/>
        <v>0</v>
      </c>
      <c r="R171" s="334"/>
      <c r="S171" s="61">
        <v>0</v>
      </c>
      <c r="T171" s="376"/>
      <c r="U171" s="61">
        <v>0</v>
      </c>
      <c r="V171" s="342"/>
      <c r="W171" s="61">
        <v>0</v>
      </c>
      <c r="X171" s="342"/>
      <c r="Y171" s="211" t="e">
        <f t="shared" si="444"/>
        <v>#N/A</v>
      </c>
      <c r="Z171" s="370"/>
      <c r="AA171" s="61">
        <v>0</v>
      </c>
      <c r="AB171" s="351"/>
      <c r="AC171" s="61">
        <v>0</v>
      </c>
      <c r="AD171" s="351"/>
      <c r="AE171" s="73" t="e">
        <f t="shared" si="303"/>
        <v>#N/A</v>
      </c>
      <c r="AF171" s="356"/>
      <c r="AG171" s="73" t="e">
        <f t="shared" si="304"/>
        <v>#N/A</v>
      </c>
      <c r="AH171" s="356"/>
      <c r="AI171" s="221">
        <f>AI170</f>
        <v>29.26</v>
      </c>
      <c r="AJ171" s="78">
        <f t="shared" ref="AJ171:AN171" si="451">AJ170</f>
        <v>0.26750000000000002</v>
      </c>
      <c r="AK171" s="79">
        <f t="shared" si="451"/>
        <v>9.9166666666666661</v>
      </c>
      <c r="AL171" s="80">
        <f t="shared" si="451"/>
        <v>187</v>
      </c>
      <c r="AM171" s="78">
        <f t="shared" si="451"/>
        <v>9.737942583732058E-2</v>
      </c>
      <c r="AN171" s="80">
        <f t="shared" si="451"/>
        <v>143</v>
      </c>
      <c r="AO171" s="78">
        <f>AO170</f>
        <v>0.21099999999999999</v>
      </c>
      <c r="AP171" s="88">
        <f>AP170</f>
        <v>12</v>
      </c>
      <c r="AQ171" s="64">
        <f t="shared" si="364"/>
        <v>21.5</v>
      </c>
      <c r="AR171" s="64">
        <f t="shared" si="365"/>
        <v>11.5</v>
      </c>
      <c r="AS171" s="88">
        <f t="shared" si="366"/>
        <v>1.1830000000000001</v>
      </c>
      <c r="AT171" s="91">
        <f t="shared" si="420"/>
        <v>283</v>
      </c>
      <c r="AU171" s="94"/>
      <c r="AV171" s="95"/>
      <c r="AW171" s="56">
        <f t="shared" si="342"/>
        <v>0</v>
      </c>
      <c r="AX171" s="351"/>
      <c r="AY171" s="100">
        <f t="shared" si="371"/>
        <v>9.9166666666666661</v>
      </c>
      <c r="AZ171" s="360"/>
      <c r="BA171" s="91">
        <f t="shared" ref="BA171:BA181" si="452">BA170-AY171</f>
        <v>-1611.1125470000029</v>
      </c>
      <c r="BB171" s="5">
        <f t="shared" si="306"/>
        <v>-9.9166666666666661</v>
      </c>
      <c r="BC171" s="363"/>
      <c r="BD171" s="91" t="e">
        <f t="shared" ca="1" si="343"/>
        <v>#N/A</v>
      </c>
      <c r="BE171" s="91" t="e">
        <f t="shared" ca="1" si="344"/>
        <v>#N/A</v>
      </c>
      <c r="BF171" s="91">
        <f t="shared" si="345"/>
        <v>31.833333333333329</v>
      </c>
      <c r="BG171" s="91" t="e">
        <f t="shared" ca="1" si="346"/>
        <v>#N/A</v>
      </c>
      <c r="BH171" s="91" t="e">
        <f t="shared" ca="1" si="392"/>
        <v>#N/A</v>
      </c>
      <c r="BI171" s="10" t="e">
        <f t="shared" ca="1" si="360"/>
        <v>#N/A</v>
      </c>
      <c r="BJ171" s="104">
        <f>((M171+Q171)*AJ171+AK171)+((U171-W171+W171/('Vergleich Holz Strom'!$B$8-0.6))*AO171+AP171)</f>
        <v>21.916666666666664</v>
      </c>
      <c r="BK171" s="10" t="e">
        <f t="shared" ca="1" si="307"/>
        <v>#N/A</v>
      </c>
      <c r="BL171" s="379"/>
      <c r="BM171" s="104" t="e">
        <f t="shared" ca="1" si="356"/>
        <v>#N/A</v>
      </c>
      <c r="BN171" s="40" t="e">
        <f ca="1">IF(ISNUMBER(BK171),BN170+SUMIF(BK170:BK181,"&lt;&gt;#NV",BK170:BK181)/COUNTIF(BK170:BK181,"&lt;&gt;#NV"),#N/A)</f>
        <v>#N/A</v>
      </c>
      <c r="BO171" s="10" t="e">
        <f t="shared" ca="1" si="448"/>
        <v>#N/A</v>
      </c>
      <c r="BP171" s="104" t="e">
        <f t="shared" ca="1" si="308"/>
        <v>#N/A</v>
      </c>
      <c r="BQ171" s="104">
        <f t="shared" ca="1" si="319"/>
        <v>-60086.307302372414</v>
      </c>
      <c r="BR171" s="10">
        <f t="shared" si="347"/>
        <v>9.9166666666666661</v>
      </c>
      <c r="BS171" s="311"/>
      <c r="BT171" s="307"/>
      <c r="BU171" s="295">
        <f t="shared" si="348"/>
        <v>0</v>
      </c>
      <c r="BV171" s="323"/>
      <c r="BW171" s="299">
        <f t="shared" si="349"/>
        <v>0</v>
      </c>
      <c r="BX171" s="295">
        <f t="shared" si="350"/>
        <v>0</v>
      </c>
      <c r="BY171" s="382"/>
      <c r="BZ171" s="299">
        <f t="shared" si="357"/>
        <v>0</v>
      </c>
      <c r="CA171" s="295">
        <f t="shared" si="362"/>
        <v>0</v>
      </c>
      <c r="CB171" s="323"/>
      <c r="CC171" s="314">
        <f>Q171/AQ171*100+BS171/AQ171*100</f>
        <v>0</v>
      </c>
      <c r="CD171" s="326"/>
      <c r="CE171" s="299">
        <f t="shared" si="351"/>
        <v>0</v>
      </c>
      <c r="CF171" s="284">
        <f>CE171-CA171</f>
        <v>0</v>
      </c>
      <c r="CG171" s="323"/>
      <c r="CH171" s="302">
        <f t="shared" si="389"/>
        <v>0</v>
      </c>
      <c r="CI171" s="108">
        <f t="shared" si="352"/>
        <v>0</v>
      </c>
      <c r="CJ171" s="200">
        <f t="shared" si="353"/>
        <v>0</v>
      </c>
      <c r="CK171" s="197">
        <f t="shared" si="369"/>
        <v>0</v>
      </c>
      <c r="CL171" s="203">
        <f t="shared" si="354"/>
        <v>12</v>
      </c>
      <c r="CM171" s="4">
        <f>U171*Jahresdaten!$AD$2</f>
        <v>0</v>
      </c>
      <c r="CN171" s="112">
        <f>CJ171*Jahresdaten!$AD$2</f>
        <v>0</v>
      </c>
      <c r="CO171" s="366"/>
      <c r="CP171" s="116">
        <f>U171*Jahresdaten!$AD$3</f>
        <v>0</v>
      </c>
      <c r="CQ171" s="12">
        <f>CJ171*Jahresdaten!$AD$3</f>
        <v>0</v>
      </c>
      <c r="CR171" s="353"/>
      <c r="CS171" s="14"/>
      <c r="CT171" s="136"/>
      <c r="CU171" s="140" t="str">
        <f>IF(CT171=0,"",CT171*'Vergleich Holz Strom'!$B$2)</f>
        <v/>
      </c>
      <c r="CV171" s="353">
        <f>SUM(CJ170:CJ181)</f>
        <v>0</v>
      </c>
      <c r="CW171" s="366"/>
      <c r="CX171" s="345"/>
      <c r="CY171" s="345"/>
      <c r="CZ171" s="345"/>
      <c r="DA171" s="348"/>
      <c r="DB171" s="94"/>
      <c r="DC171" s="88">
        <f t="shared" ref="DC171:DC234" si="453">DC170+AL171-(AA171*AJ171+AK171)-DB171</f>
        <v>27996.677999999942</v>
      </c>
      <c r="DD171" s="94"/>
      <c r="DE171" s="88">
        <f t="shared" si="284"/>
        <v>-21703.112547000001</v>
      </c>
      <c r="DF171" s="100" t="e">
        <f ca="1">BE171+(SUM(CS170:CS181)/12)</f>
        <v>#N/A</v>
      </c>
      <c r="DG171" s="351"/>
      <c r="DH171" s="8">
        <f t="shared" ref="DH171:DH181" si="454">DH170+M171+S171+U171</f>
        <v>0</v>
      </c>
      <c r="DI171" s="123">
        <f t="shared" si="309"/>
        <v>3550</v>
      </c>
      <c r="DJ171" s="2">
        <f t="shared" ref="DJ171:DJ181" si="455">DJ170+M171</f>
        <v>0</v>
      </c>
      <c r="DK171" s="127">
        <f>DK181/12*2</f>
        <v>1300</v>
      </c>
      <c r="DL171" s="2">
        <f t="shared" ref="DL171:DL181" si="456">DL170</f>
        <v>650</v>
      </c>
      <c r="DM171" s="130">
        <f t="shared" ref="DM171:DM181" si="457">DM170+S171</f>
        <v>0</v>
      </c>
      <c r="DN171" s="3">
        <f>DN181/12*2</f>
        <v>500</v>
      </c>
      <c r="DO171" s="130">
        <f t="shared" ref="DO171:DO181" si="458">DO170</f>
        <v>250</v>
      </c>
      <c r="DP171" s="4">
        <f t="shared" ref="DP171:DP181" si="459">DP170+U171</f>
        <v>0</v>
      </c>
      <c r="DQ171" s="116">
        <f t="shared" ref="DQ171:DQ180" si="460">DQ170+DR171</f>
        <v>1750</v>
      </c>
      <c r="DR171" s="116">
        <f>DR159</f>
        <v>800</v>
      </c>
    </row>
    <row r="172" spans="1:122" ht="14.25" customHeight="1" thickBot="1" x14ac:dyDescent="0.2">
      <c r="A172" s="416"/>
      <c r="B172" s="16">
        <v>48549</v>
      </c>
      <c r="C172" s="207">
        <f>'PV-Felder'!$I$13</f>
        <v>559.9</v>
      </c>
      <c r="D172" s="351"/>
      <c r="E172" s="61">
        <v>0</v>
      </c>
      <c r="F172" s="351"/>
      <c r="G172" s="56" t="e">
        <f t="shared" ca="1" si="339"/>
        <v>#N/A</v>
      </c>
      <c r="H172" s="351"/>
      <c r="I172" s="61">
        <v>0</v>
      </c>
      <c r="J172" s="351"/>
      <c r="K172" s="61">
        <v>0</v>
      </c>
      <c r="L172" s="351"/>
      <c r="M172" s="65">
        <f t="shared" si="358"/>
        <v>0</v>
      </c>
      <c r="N172" s="373"/>
      <c r="O172" s="288"/>
      <c r="P172" s="288"/>
      <c r="Q172" s="286">
        <f t="shared" si="340"/>
        <v>0</v>
      </c>
      <c r="R172" s="334"/>
      <c r="S172" s="61">
        <v>0</v>
      </c>
      <c r="T172" s="376"/>
      <c r="U172" s="61">
        <v>0</v>
      </c>
      <c r="V172" s="342"/>
      <c r="W172" s="61">
        <v>0</v>
      </c>
      <c r="X172" s="342"/>
      <c r="Y172" s="211" t="e">
        <f t="shared" si="444"/>
        <v>#N/A</v>
      </c>
      <c r="Z172" s="370"/>
      <c r="AA172" s="61">
        <v>0</v>
      </c>
      <c r="AB172" s="351"/>
      <c r="AC172" s="61">
        <v>0</v>
      </c>
      <c r="AD172" s="351"/>
      <c r="AE172" s="73" t="e">
        <f t="shared" si="303"/>
        <v>#N/A</v>
      </c>
      <c r="AF172" s="356"/>
      <c r="AG172" s="73" t="e">
        <f t="shared" si="304"/>
        <v>#N/A</v>
      </c>
      <c r="AH172" s="356"/>
      <c r="AI172" s="221">
        <f t="shared" ref="AI172:AI180" si="461">AI171</f>
        <v>29.26</v>
      </c>
      <c r="AJ172" s="78">
        <f t="shared" ref="AJ172:AN172" si="462">AJ171</f>
        <v>0.26750000000000002</v>
      </c>
      <c r="AK172" s="79">
        <f t="shared" si="462"/>
        <v>9.9166666666666661</v>
      </c>
      <c r="AL172" s="80">
        <f t="shared" si="462"/>
        <v>187</v>
      </c>
      <c r="AM172" s="78">
        <f t="shared" si="462"/>
        <v>9.737942583732058E-2</v>
      </c>
      <c r="AN172" s="80">
        <f t="shared" si="462"/>
        <v>143</v>
      </c>
      <c r="AO172" s="78">
        <f>AO171</f>
        <v>0.21099999999999999</v>
      </c>
      <c r="AP172" s="88">
        <f>AP171</f>
        <v>12</v>
      </c>
      <c r="AQ172" s="64">
        <f t="shared" si="364"/>
        <v>21.5</v>
      </c>
      <c r="AR172" s="64">
        <f t="shared" si="365"/>
        <v>11.5</v>
      </c>
      <c r="AS172" s="88">
        <f t="shared" si="366"/>
        <v>1.1830000000000001</v>
      </c>
      <c r="AT172" s="91">
        <f t="shared" si="420"/>
        <v>283</v>
      </c>
      <c r="AU172" s="94"/>
      <c r="AV172" s="95"/>
      <c r="AW172" s="56">
        <f t="shared" si="342"/>
        <v>0</v>
      </c>
      <c r="AX172" s="351"/>
      <c r="AY172" s="100">
        <f t="shared" si="371"/>
        <v>9.9166666666666661</v>
      </c>
      <c r="AZ172" s="360"/>
      <c r="BA172" s="91">
        <f t="shared" si="452"/>
        <v>-1621.0292136666696</v>
      </c>
      <c r="BB172" s="5">
        <f t="shared" si="306"/>
        <v>-9.9166666666666661</v>
      </c>
      <c r="BC172" s="363"/>
      <c r="BD172" s="91" t="e">
        <f t="shared" ca="1" si="343"/>
        <v>#N/A</v>
      </c>
      <c r="BE172" s="91" t="e">
        <f t="shared" ca="1" si="344"/>
        <v>#N/A</v>
      </c>
      <c r="BF172" s="91">
        <f t="shared" si="345"/>
        <v>31.833333333333329</v>
      </c>
      <c r="BG172" s="91" t="e">
        <f t="shared" ca="1" si="346"/>
        <v>#N/A</v>
      </c>
      <c r="BH172" s="91" t="e">
        <f t="shared" ca="1" si="392"/>
        <v>#N/A</v>
      </c>
      <c r="BI172" s="10" t="e">
        <f t="shared" ca="1" si="360"/>
        <v>#N/A</v>
      </c>
      <c r="BJ172" s="104">
        <f>((M172+Q172)*AJ172+AK172)+((U172-W172+W172/('Vergleich Holz Strom'!$B$8-0.6))*AO172+AP172)</f>
        <v>21.916666666666664</v>
      </c>
      <c r="BK172" s="10" t="e">
        <f t="shared" ca="1" si="307"/>
        <v>#N/A</v>
      </c>
      <c r="BL172" s="379"/>
      <c r="BM172" s="104" t="e">
        <f t="shared" ca="1" si="356"/>
        <v>#N/A</v>
      </c>
      <c r="BN172" s="40" t="e">
        <f ca="1">IF(ISNUMBER(BK172),BN171+SUMIF(BK170:BK181,"&lt;&gt;#NV",BK170:BK181)/COUNTIF(BK170:BK181,"&lt;&gt;#NV"),#N/A)</f>
        <v>#N/A</v>
      </c>
      <c r="BO172" s="10" t="e">
        <f t="shared" ca="1" si="448"/>
        <v>#N/A</v>
      </c>
      <c r="BP172" s="104" t="e">
        <f t="shared" ca="1" si="308"/>
        <v>#N/A</v>
      </c>
      <c r="BQ172" s="104">
        <f t="shared" ca="1" si="319"/>
        <v>-60074.307302372414</v>
      </c>
      <c r="BR172" s="10">
        <f t="shared" si="347"/>
        <v>9.9166666666666661</v>
      </c>
      <c r="BS172" s="311"/>
      <c r="BT172" s="307"/>
      <c r="BU172" s="295">
        <f t="shared" si="348"/>
        <v>0</v>
      </c>
      <c r="BV172" s="323"/>
      <c r="BW172" s="299">
        <f t="shared" si="349"/>
        <v>0</v>
      </c>
      <c r="BX172" s="295">
        <f t="shared" si="350"/>
        <v>0</v>
      </c>
      <c r="BY172" s="382"/>
      <c r="BZ172" s="299">
        <f t="shared" si="357"/>
        <v>0</v>
      </c>
      <c r="CA172" s="295">
        <f t="shared" si="362"/>
        <v>0</v>
      </c>
      <c r="CB172" s="323"/>
      <c r="CC172" s="314">
        <f t="shared" ref="CC172:CC182" si="463">Q172/AQ172*100+BS172/AQ172*100</f>
        <v>0</v>
      </c>
      <c r="CD172" s="326"/>
      <c r="CE172" s="299">
        <f t="shared" si="351"/>
        <v>0</v>
      </c>
      <c r="CF172" s="284">
        <f t="shared" ref="CF172:CF182" si="464">CE172-CA172</f>
        <v>0</v>
      </c>
      <c r="CG172" s="323"/>
      <c r="CH172" s="302">
        <f t="shared" si="389"/>
        <v>0</v>
      </c>
      <c r="CI172" s="108">
        <f t="shared" si="352"/>
        <v>0</v>
      </c>
      <c r="CJ172" s="200">
        <f t="shared" si="353"/>
        <v>0</v>
      </c>
      <c r="CK172" s="197">
        <f t="shared" si="369"/>
        <v>0</v>
      </c>
      <c r="CL172" s="203">
        <f t="shared" si="354"/>
        <v>12</v>
      </c>
      <c r="CM172" s="4">
        <f>U172*Jahresdaten!$AD$2</f>
        <v>0</v>
      </c>
      <c r="CN172" s="112">
        <f>CJ172*Jahresdaten!$AD$2</f>
        <v>0</v>
      </c>
      <c r="CO172" s="366"/>
      <c r="CP172" s="116">
        <f>U172*Jahresdaten!$AD$3</f>
        <v>0</v>
      </c>
      <c r="CQ172" s="12">
        <f>CJ172*Jahresdaten!$AD$3</f>
        <v>0</v>
      </c>
      <c r="CR172" s="353"/>
      <c r="CS172" s="14"/>
      <c r="CT172" s="136"/>
      <c r="CU172" s="140" t="str">
        <f>IF(CT172=0,"",CT172*'Vergleich Holz Strom'!$B$2)</f>
        <v/>
      </c>
      <c r="CV172" s="353"/>
      <c r="CW172" s="366"/>
      <c r="CX172" s="345"/>
      <c r="CY172" s="345"/>
      <c r="CZ172" s="345"/>
      <c r="DA172" s="348"/>
      <c r="DB172" s="94"/>
      <c r="DC172" s="88">
        <f t="shared" si="453"/>
        <v>28173.761333333274</v>
      </c>
      <c r="DD172" s="94"/>
      <c r="DE172" s="88">
        <f t="shared" ref="DE172:DE235" si="465">DE171+(AC172*AM172-AN172)-DD172</f>
        <v>-21846.112547000001</v>
      </c>
      <c r="DF172" s="100" t="e">
        <f ca="1">BE172+(SUM(CS170:CS181)/12)</f>
        <v>#N/A</v>
      </c>
      <c r="DG172" s="351"/>
      <c r="DH172" s="8">
        <f t="shared" si="454"/>
        <v>0</v>
      </c>
      <c r="DI172" s="123">
        <f t="shared" si="309"/>
        <v>5300</v>
      </c>
      <c r="DJ172" s="2">
        <f t="shared" si="455"/>
        <v>0</v>
      </c>
      <c r="DK172" s="127">
        <f>DK181/12*3</f>
        <v>1950</v>
      </c>
      <c r="DL172" s="2">
        <f t="shared" si="456"/>
        <v>650</v>
      </c>
      <c r="DM172" s="130">
        <f t="shared" si="457"/>
        <v>0</v>
      </c>
      <c r="DN172" s="3">
        <f>DN181/12*3</f>
        <v>750</v>
      </c>
      <c r="DO172" s="130">
        <f t="shared" si="458"/>
        <v>250</v>
      </c>
      <c r="DP172" s="4">
        <f t="shared" si="459"/>
        <v>0</v>
      </c>
      <c r="DQ172" s="116">
        <f t="shared" si="460"/>
        <v>2600</v>
      </c>
      <c r="DR172" s="116">
        <f t="shared" ref="DR172:DR180" si="466">DR160</f>
        <v>850.00000000000011</v>
      </c>
    </row>
    <row r="173" spans="1:122" ht="14.25" customHeight="1" thickBot="1" x14ac:dyDescent="0.2">
      <c r="A173" s="416"/>
      <c r="B173" s="16">
        <v>48580</v>
      </c>
      <c r="C173" s="207">
        <f>'PV-Felder'!$I$2</f>
        <v>660.80000000000007</v>
      </c>
      <c r="D173" s="351"/>
      <c r="E173" s="61">
        <v>0</v>
      </c>
      <c r="F173" s="351"/>
      <c r="G173" s="56" t="e">
        <f t="shared" ca="1" si="339"/>
        <v>#N/A</v>
      </c>
      <c r="H173" s="351"/>
      <c r="I173" s="61">
        <v>0</v>
      </c>
      <c r="J173" s="351"/>
      <c r="K173" s="61">
        <v>0</v>
      </c>
      <c r="L173" s="351"/>
      <c r="M173" s="65">
        <f t="shared" si="358"/>
        <v>0</v>
      </c>
      <c r="N173" s="373"/>
      <c r="O173" s="288"/>
      <c r="P173" s="288"/>
      <c r="Q173" s="286">
        <f t="shared" si="340"/>
        <v>0</v>
      </c>
      <c r="R173" s="334"/>
      <c r="S173" s="61">
        <v>0</v>
      </c>
      <c r="T173" s="376"/>
      <c r="U173" s="61">
        <v>0</v>
      </c>
      <c r="V173" s="342"/>
      <c r="W173" s="61">
        <v>0</v>
      </c>
      <c r="X173" s="342"/>
      <c r="Y173" s="211" t="e">
        <f t="shared" si="444"/>
        <v>#N/A</v>
      </c>
      <c r="Z173" s="370"/>
      <c r="AA173" s="61">
        <v>0</v>
      </c>
      <c r="AB173" s="351"/>
      <c r="AC173" s="61">
        <v>0</v>
      </c>
      <c r="AD173" s="351"/>
      <c r="AE173" s="73" t="e">
        <f t="shared" si="303"/>
        <v>#N/A</v>
      </c>
      <c r="AF173" s="356"/>
      <c r="AG173" s="73" t="e">
        <f t="shared" si="304"/>
        <v>#N/A</v>
      </c>
      <c r="AH173" s="356"/>
      <c r="AI173" s="221">
        <f t="shared" si="461"/>
        <v>29.26</v>
      </c>
      <c r="AJ173" s="78">
        <f t="shared" ref="AJ173:AP173" si="467">AJ172</f>
        <v>0.26750000000000002</v>
      </c>
      <c r="AK173" s="79">
        <f t="shared" si="467"/>
        <v>9.9166666666666661</v>
      </c>
      <c r="AL173" s="80">
        <f t="shared" si="467"/>
        <v>187</v>
      </c>
      <c r="AM173" s="78">
        <f t="shared" si="467"/>
        <v>9.737942583732058E-2</v>
      </c>
      <c r="AN173" s="80">
        <f t="shared" si="467"/>
        <v>143</v>
      </c>
      <c r="AO173" s="78">
        <f t="shared" si="467"/>
        <v>0.21099999999999999</v>
      </c>
      <c r="AP173" s="88">
        <f t="shared" si="467"/>
        <v>12</v>
      </c>
      <c r="AQ173" s="64">
        <f t="shared" si="364"/>
        <v>21.5</v>
      </c>
      <c r="AR173" s="64">
        <f t="shared" si="365"/>
        <v>11.5</v>
      </c>
      <c r="AS173" s="88">
        <f t="shared" si="366"/>
        <v>1.1830000000000001</v>
      </c>
      <c r="AT173" s="91">
        <f t="shared" si="420"/>
        <v>283</v>
      </c>
      <c r="AU173" s="94"/>
      <c r="AV173" s="95"/>
      <c r="AW173" s="56">
        <f t="shared" si="342"/>
        <v>0</v>
      </c>
      <c r="AX173" s="351"/>
      <c r="AY173" s="100">
        <f t="shared" si="371"/>
        <v>9.9166666666666661</v>
      </c>
      <c r="AZ173" s="360"/>
      <c r="BA173" s="91">
        <f t="shared" si="452"/>
        <v>-1630.9458803333364</v>
      </c>
      <c r="BB173" s="5">
        <f t="shared" si="306"/>
        <v>-9.9166666666666661</v>
      </c>
      <c r="BC173" s="363"/>
      <c r="BD173" s="91" t="e">
        <f t="shared" ca="1" si="343"/>
        <v>#N/A</v>
      </c>
      <c r="BE173" s="91" t="e">
        <f t="shared" ca="1" si="344"/>
        <v>#N/A</v>
      </c>
      <c r="BF173" s="91">
        <f t="shared" si="345"/>
        <v>31.833333333333329</v>
      </c>
      <c r="BG173" s="91" t="e">
        <f t="shared" ca="1" si="346"/>
        <v>#N/A</v>
      </c>
      <c r="BH173" s="91" t="e">
        <f t="shared" ca="1" si="392"/>
        <v>#N/A</v>
      </c>
      <c r="BI173" s="10" t="e">
        <f t="shared" ca="1" si="360"/>
        <v>#N/A</v>
      </c>
      <c r="BJ173" s="104">
        <f>((M173+Q173)*AJ173+AK173)+((U173-W173+W173/('Vergleich Holz Strom'!$B$8-0.6))*AO173+AP173)</f>
        <v>21.916666666666664</v>
      </c>
      <c r="BK173" s="10" t="e">
        <f t="shared" ca="1" si="307"/>
        <v>#N/A</v>
      </c>
      <c r="BL173" s="379"/>
      <c r="BM173" s="104" t="e">
        <f t="shared" ca="1" si="356"/>
        <v>#N/A</v>
      </c>
      <c r="BN173" s="40" t="e">
        <f ca="1">IF(ISNUMBER(BK173),BN172+SUMIF(BK170:BK181,"&lt;&gt;#NV",BK170:BK181)/COUNTIF(BK170:BK181,"&lt;&gt;#NV"),#N/A)</f>
        <v>#N/A</v>
      </c>
      <c r="BO173" s="10" t="e">
        <f t="shared" ca="1" si="448"/>
        <v>#N/A</v>
      </c>
      <c r="BP173" s="104" t="e">
        <f t="shared" ca="1" si="308"/>
        <v>#N/A</v>
      </c>
      <c r="BQ173" s="104">
        <f t="shared" ca="1" si="319"/>
        <v>-60062.307302372414</v>
      </c>
      <c r="BR173" s="10">
        <f t="shared" si="347"/>
        <v>9.9166666666666661</v>
      </c>
      <c r="BS173" s="311"/>
      <c r="BT173" s="307"/>
      <c r="BU173" s="295">
        <f t="shared" si="348"/>
        <v>0</v>
      </c>
      <c r="BV173" s="323"/>
      <c r="BW173" s="299">
        <f t="shared" si="349"/>
        <v>0</v>
      </c>
      <c r="BX173" s="295">
        <f t="shared" si="350"/>
        <v>0</v>
      </c>
      <c r="BY173" s="382"/>
      <c r="BZ173" s="299">
        <f t="shared" si="357"/>
        <v>0</v>
      </c>
      <c r="CA173" s="295">
        <f t="shared" si="362"/>
        <v>0</v>
      </c>
      <c r="CB173" s="323"/>
      <c r="CC173" s="314">
        <f t="shared" si="463"/>
        <v>0</v>
      </c>
      <c r="CD173" s="326"/>
      <c r="CE173" s="299">
        <f t="shared" si="351"/>
        <v>0</v>
      </c>
      <c r="CF173" s="284">
        <f t="shared" si="464"/>
        <v>0</v>
      </c>
      <c r="CG173" s="323"/>
      <c r="CH173" s="302">
        <f t="shared" si="389"/>
        <v>0</v>
      </c>
      <c r="CI173" s="108">
        <f t="shared" si="352"/>
        <v>0</v>
      </c>
      <c r="CJ173" s="200">
        <f t="shared" si="353"/>
        <v>0</v>
      </c>
      <c r="CK173" s="197">
        <f t="shared" si="369"/>
        <v>0</v>
      </c>
      <c r="CL173" s="203">
        <f t="shared" si="354"/>
        <v>12</v>
      </c>
      <c r="CM173" s="4">
        <f>U173*Jahresdaten!$AD$2</f>
        <v>0</v>
      </c>
      <c r="CN173" s="112">
        <f>CJ173*Jahresdaten!$AD$2</f>
        <v>0</v>
      </c>
      <c r="CO173" s="366"/>
      <c r="CP173" s="116">
        <f>U173*Jahresdaten!$AD$3</f>
        <v>0</v>
      </c>
      <c r="CQ173" s="12">
        <f>CJ173*Jahresdaten!$AD$3</f>
        <v>0</v>
      </c>
      <c r="CR173" s="353"/>
      <c r="CS173" s="14"/>
      <c r="CT173" s="136"/>
      <c r="CU173" s="140" t="str">
        <f>IF(CT173=0,"",CT173*'Vergleich Holz Strom'!$B$2)</f>
        <v/>
      </c>
      <c r="CV173" s="353"/>
      <c r="CW173" s="366"/>
      <c r="CX173" s="345"/>
      <c r="CY173" s="345"/>
      <c r="CZ173" s="345"/>
      <c r="DA173" s="348"/>
      <c r="DB173" s="94"/>
      <c r="DC173" s="88">
        <f t="shared" si="453"/>
        <v>28350.844666666606</v>
      </c>
      <c r="DD173" s="94"/>
      <c r="DE173" s="88">
        <f t="shared" si="465"/>
        <v>-21989.112547000001</v>
      </c>
      <c r="DF173" s="100" t="e">
        <f ca="1">BE173+(SUM(CS170:CS181)/12)</f>
        <v>#N/A</v>
      </c>
      <c r="DG173" s="351"/>
      <c r="DH173" s="8">
        <f t="shared" si="454"/>
        <v>0</v>
      </c>
      <c r="DI173" s="123">
        <f t="shared" si="309"/>
        <v>7350</v>
      </c>
      <c r="DJ173" s="2">
        <f t="shared" si="455"/>
        <v>0</v>
      </c>
      <c r="DK173" s="127">
        <f>DK181/12*4</f>
        <v>2600</v>
      </c>
      <c r="DL173" s="2">
        <f t="shared" si="456"/>
        <v>650</v>
      </c>
      <c r="DM173" s="130">
        <f t="shared" si="457"/>
        <v>0</v>
      </c>
      <c r="DN173" s="3">
        <f>DN181/12*4</f>
        <v>1000</v>
      </c>
      <c r="DO173" s="130">
        <f t="shared" si="458"/>
        <v>250</v>
      </c>
      <c r="DP173" s="4">
        <f t="shared" si="459"/>
        <v>0</v>
      </c>
      <c r="DQ173" s="116">
        <f t="shared" si="460"/>
        <v>3750</v>
      </c>
      <c r="DR173" s="116">
        <f t="shared" si="466"/>
        <v>1150</v>
      </c>
    </row>
    <row r="174" spans="1:122" ht="14.25" customHeight="1" thickBot="1" x14ac:dyDescent="0.2">
      <c r="A174" s="416"/>
      <c r="B174" s="16">
        <v>48611</v>
      </c>
      <c r="C174" s="207">
        <f>'PV-Felder'!$I$3</f>
        <v>922.2</v>
      </c>
      <c r="D174" s="351"/>
      <c r="E174" s="61">
        <v>0</v>
      </c>
      <c r="F174" s="351"/>
      <c r="G174" s="56" t="e">
        <f t="shared" ca="1" si="339"/>
        <v>#N/A</v>
      </c>
      <c r="H174" s="351"/>
      <c r="I174" s="61">
        <v>0</v>
      </c>
      <c r="J174" s="351"/>
      <c r="K174" s="61">
        <v>0</v>
      </c>
      <c r="L174" s="351"/>
      <c r="M174" s="65">
        <f t="shared" si="358"/>
        <v>0</v>
      </c>
      <c r="N174" s="373"/>
      <c r="O174" s="288"/>
      <c r="P174" s="288"/>
      <c r="Q174" s="286">
        <f t="shared" si="340"/>
        <v>0</v>
      </c>
      <c r="R174" s="334"/>
      <c r="S174" s="61">
        <v>0</v>
      </c>
      <c r="T174" s="376"/>
      <c r="U174" s="61">
        <v>0</v>
      </c>
      <c r="V174" s="342"/>
      <c r="W174" s="61">
        <v>0</v>
      </c>
      <c r="X174" s="342"/>
      <c r="Y174" s="211" t="e">
        <f t="shared" si="444"/>
        <v>#N/A</v>
      </c>
      <c r="Z174" s="370"/>
      <c r="AA174" s="61">
        <v>0</v>
      </c>
      <c r="AB174" s="351"/>
      <c r="AC174" s="61">
        <v>0</v>
      </c>
      <c r="AD174" s="351"/>
      <c r="AE174" s="73" t="e">
        <f t="shared" si="303"/>
        <v>#N/A</v>
      </c>
      <c r="AF174" s="356"/>
      <c r="AG174" s="73" t="e">
        <f t="shared" si="304"/>
        <v>#N/A</v>
      </c>
      <c r="AH174" s="356"/>
      <c r="AI174" s="221">
        <f t="shared" si="461"/>
        <v>29.26</v>
      </c>
      <c r="AJ174" s="78">
        <f t="shared" ref="AJ174:AP174" si="468">AJ173</f>
        <v>0.26750000000000002</v>
      </c>
      <c r="AK174" s="79">
        <f t="shared" si="468"/>
        <v>9.9166666666666661</v>
      </c>
      <c r="AL174" s="80">
        <f t="shared" si="468"/>
        <v>187</v>
      </c>
      <c r="AM174" s="78">
        <f t="shared" si="468"/>
        <v>9.737942583732058E-2</v>
      </c>
      <c r="AN174" s="80">
        <f t="shared" si="468"/>
        <v>143</v>
      </c>
      <c r="AO174" s="78">
        <f t="shared" si="468"/>
        <v>0.21099999999999999</v>
      </c>
      <c r="AP174" s="88">
        <f t="shared" si="468"/>
        <v>12</v>
      </c>
      <c r="AQ174" s="64">
        <f t="shared" si="364"/>
        <v>21.5</v>
      </c>
      <c r="AR174" s="64">
        <f t="shared" si="365"/>
        <v>11.5</v>
      </c>
      <c r="AS174" s="88">
        <f t="shared" si="366"/>
        <v>1.1830000000000001</v>
      </c>
      <c r="AT174" s="91">
        <f t="shared" si="420"/>
        <v>283</v>
      </c>
      <c r="AU174" s="94"/>
      <c r="AV174" s="95"/>
      <c r="AW174" s="56">
        <f t="shared" si="342"/>
        <v>0</v>
      </c>
      <c r="AX174" s="351"/>
      <c r="AY174" s="100">
        <f t="shared" si="371"/>
        <v>9.9166666666666661</v>
      </c>
      <c r="AZ174" s="360"/>
      <c r="BA174" s="91">
        <f t="shared" si="452"/>
        <v>-1640.8625470000031</v>
      </c>
      <c r="BB174" s="5">
        <f t="shared" si="306"/>
        <v>-9.9166666666666661</v>
      </c>
      <c r="BC174" s="363"/>
      <c r="BD174" s="91" t="e">
        <f t="shared" ca="1" si="343"/>
        <v>#N/A</v>
      </c>
      <c r="BE174" s="91" t="e">
        <f t="shared" ca="1" si="344"/>
        <v>#N/A</v>
      </c>
      <c r="BF174" s="91">
        <f t="shared" si="345"/>
        <v>31.833333333333329</v>
      </c>
      <c r="BG174" s="91" t="e">
        <f t="shared" ca="1" si="346"/>
        <v>#N/A</v>
      </c>
      <c r="BH174" s="91" t="e">
        <f t="shared" ca="1" si="392"/>
        <v>#N/A</v>
      </c>
      <c r="BI174" s="10" t="e">
        <f t="shared" ca="1" si="360"/>
        <v>#N/A</v>
      </c>
      <c r="BJ174" s="104">
        <f>((M174+Q174)*AJ174+AK174)+((U174-W174+W174/('Vergleich Holz Strom'!$B$8-0.6))*AO174+AP174)</f>
        <v>21.916666666666664</v>
      </c>
      <c r="BK174" s="10" t="e">
        <f t="shared" ca="1" si="307"/>
        <v>#N/A</v>
      </c>
      <c r="BL174" s="379"/>
      <c r="BM174" s="104" t="e">
        <f t="shared" ca="1" si="356"/>
        <v>#N/A</v>
      </c>
      <c r="BN174" s="40" t="e">
        <f ca="1">IF(ISNUMBER(BK174),BN173+SUMIF(BK170:BK181,"&lt;&gt;#NV",BK170:BK181)/COUNTIF(BK170:BK181,"&lt;&gt;#NV"),#N/A)</f>
        <v>#N/A</v>
      </c>
      <c r="BO174" s="10" t="e">
        <f t="shared" ca="1" si="448"/>
        <v>#N/A</v>
      </c>
      <c r="BP174" s="104" t="e">
        <f t="shared" ca="1" si="308"/>
        <v>#N/A</v>
      </c>
      <c r="BQ174" s="104">
        <f t="shared" ca="1" si="319"/>
        <v>-60043.107302372417</v>
      </c>
      <c r="BR174" s="10">
        <f t="shared" si="347"/>
        <v>9.9166666666666661</v>
      </c>
      <c r="BS174" s="311"/>
      <c r="BT174" s="307"/>
      <c r="BU174" s="295">
        <f t="shared" si="348"/>
        <v>0</v>
      </c>
      <c r="BV174" s="323"/>
      <c r="BW174" s="299">
        <f t="shared" si="349"/>
        <v>0</v>
      </c>
      <c r="BX174" s="295">
        <f t="shared" si="350"/>
        <v>0</v>
      </c>
      <c r="BY174" s="382"/>
      <c r="BZ174" s="299">
        <f t="shared" si="357"/>
        <v>0</v>
      </c>
      <c r="CA174" s="295">
        <f t="shared" si="362"/>
        <v>0</v>
      </c>
      <c r="CB174" s="323"/>
      <c r="CC174" s="314">
        <f t="shared" si="463"/>
        <v>0</v>
      </c>
      <c r="CD174" s="326"/>
      <c r="CE174" s="299">
        <f t="shared" si="351"/>
        <v>0</v>
      </c>
      <c r="CF174" s="284">
        <f t="shared" si="464"/>
        <v>0</v>
      </c>
      <c r="CG174" s="323"/>
      <c r="CH174" s="302">
        <f t="shared" si="389"/>
        <v>0</v>
      </c>
      <c r="CI174" s="108">
        <f t="shared" si="352"/>
        <v>0</v>
      </c>
      <c r="CJ174" s="200">
        <f t="shared" si="353"/>
        <v>0</v>
      </c>
      <c r="CK174" s="197">
        <f t="shared" si="369"/>
        <v>0</v>
      </c>
      <c r="CL174" s="203">
        <f t="shared" si="354"/>
        <v>12</v>
      </c>
      <c r="CM174" s="4">
        <f>U174*Jahresdaten!$AD$2</f>
        <v>0</v>
      </c>
      <c r="CN174" s="112">
        <f>CJ174*Jahresdaten!$AD$2</f>
        <v>0</v>
      </c>
      <c r="CO174" s="366"/>
      <c r="CP174" s="116">
        <f>U174*Jahresdaten!$AD$3</f>
        <v>0</v>
      </c>
      <c r="CQ174" s="12">
        <f>CJ174*Jahresdaten!$AD$3</f>
        <v>0</v>
      </c>
      <c r="CR174" s="353"/>
      <c r="CS174" s="14"/>
      <c r="CT174" s="136"/>
      <c r="CU174" s="140" t="str">
        <f>IF(CT174=0,"",CT174*'Vergleich Holz Strom'!$B$2)</f>
        <v/>
      </c>
      <c r="CV174" s="353"/>
      <c r="CW174" s="366"/>
      <c r="CX174" s="345"/>
      <c r="CY174" s="345"/>
      <c r="CZ174" s="345"/>
      <c r="DA174" s="348"/>
      <c r="DB174" s="94"/>
      <c r="DC174" s="88">
        <f t="shared" si="453"/>
        <v>28527.927999999938</v>
      </c>
      <c r="DD174" s="94"/>
      <c r="DE174" s="88">
        <f t="shared" si="465"/>
        <v>-22132.112547000001</v>
      </c>
      <c r="DF174" s="100" t="e">
        <f ca="1">BE174+(SUM(CS170:CS181)/12)</f>
        <v>#N/A</v>
      </c>
      <c r="DG174" s="351"/>
      <c r="DH174" s="8">
        <f t="shared" si="454"/>
        <v>0</v>
      </c>
      <c r="DI174" s="123">
        <f t="shared" si="309"/>
        <v>9600</v>
      </c>
      <c r="DJ174" s="2">
        <f t="shared" si="455"/>
        <v>0</v>
      </c>
      <c r="DK174" s="127">
        <f>DK181/12*5</f>
        <v>3250</v>
      </c>
      <c r="DL174" s="2">
        <f t="shared" si="456"/>
        <v>650</v>
      </c>
      <c r="DM174" s="130">
        <f t="shared" si="457"/>
        <v>0</v>
      </c>
      <c r="DN174" s="3">
        <f>DN181/12*5</f>
        <v>1250</v>
      </c>
      <c r="DO174" s="130">
        <f t="shared" si="458"/>
        <v>250</v>
      </c>
      <c r="DP174" s="4">
        <f t="shared" si="459"/>
        <v>0</v>
      </c>
      <c r="DQ174" s="116">
        <f t="shared" si="460"/>
        <v>5100</v>
      </c>
      <c r="DR174" s="116">
        <f t="shared" si="466"/>
        <v>1350</v>
      </c>
    </row>
    <row r="175" spans="1:122" ht="14.25" customHeight="1" thickBot="1" x14ac:dyDescent="0.2">
      <c r="A175" s="416"/>
      <c r="B175" s="16">
        <v>48639</v>
      </c>
      <c r="C175" s="207">
        <f>'PV-Felder'!$I$4</f>
        <v>1860</v>
      </c>
      <c r="D175" s="351"/>
      <c r="E175" s="61">
        <v>0</v>
      </c>
      <c r="F175" s="351"/>
      <c r="G175" s="56" t="e">
        <f t="shared" ca="1" si="339"/>
        <v>#N/A</v>
      </c>
      <c r="H175" s="351"/>
      <c r="I175" s="61">
        <v>0</v>
      </c>
      <c r="J175" s="351"/>
      <c r="K175" s="61">
        <v>0</v>
      </c>
      <c r="L175" s="351"/>
      <c r="M175" s="65">
        <f t="shared" si="358"/>
        <v>0</v>
      </c>
      <c r="N175" s="373"/>
      <c r="O175" s="288"/>
      <c r="P175" s="288"/>
      <c r="Q175" s="286">
        <f t="shared" si="340"/>
        <v>0</v>
      </c>
      <c r="R175" s="334"/>
      <c r="S175" s="61">
        <v>0</v>
      </c>
      <c r="T175" s="376"/>
      <c r="U175" s="61">
        <v>0</v>
      </c>
      <c r="V175" s="342"/>
      <c r="W175" s="61">
        <v>0</v>
      </c>
      <c r="X175" s="342"/>
      <c r="Y175" s="211" t="e">
        <f t="shared" si="444"/>
        <v>#N/A</v>
      </c>
      <c r="Z175" s="370"/>
      <c r="AA175" s="61">
        <v>0</v>
      </c>
      <c r="AB175" s="351"/>
      <c r="AC175" s="61">
        <v>0</v>
      </c>
      <c r="AD175" s="351"/>
      <c r="AE175" s="73" t="e">
        <f t="shared" si="303"/>
        <v>#N/A</v>
      </c>
      <c r="AF175" s="356"/>
      <c r="AG175" s="73" t="e">
        <f t="shared" si="304"/>
        <v>#N/A</v>
      </c>
      <c r="AH175" s="356"/>
      <c r="AI175" s="221">
        <f t="shared" si="461"/>
        <v>29.26</v>
      </c>
      <c r="AJ175" s="78">
        <f t="shared" ref="AJ175:AP175" si="469">AJ174</f>
        <v>0.26750000000000002</v>
      </c>
      <c r="AK175" s="79">
        <f t="shared" si="469"/>
        <v>9.9166666666666661</v>
      </c>
      <c r="AL175" s="80">
        <f t="shared" si="469"/>
        <v>187</v>
      </c>
      <c r="AM175" s="78">
        <f t="shared" si="469"/>
        <v>9.737942583732058E-2</v>
      </c>
      <c r="AN175" s="80">
        <f t="shared" si="469"/>
        <v>143</v>
      </c>
      <c r="AO175" s="78">
        <f t="shared" si="469"/>
        <v>0.21099999999999999</v>
      </c>
      <c r="AP175" s="88">
        <f t="shared" si="469"/>
        <v>12</v>
      </c>
      <c r="AQ175" s="64">
        <f t="shared" si="364"/>
        <v>21.5</v>
      </c>
      <c r="AR175" s="64">
        <f t="shared" si="365"/>
        <v>11.5</v>
      </c>
      <c r="AS175" s="88">
        <f t="shared" si="366"/>
        <v>1.1830000000000001</v>
      </c>
      <c r="AT175" s="91">
        <f t="shared" si="420"/>
        <v>283</v>
      </c>
      <c r="AU175" s="94"/>
      <c r="AV175" s="95"/>
      <c r="AW175" s="56">
        <f t="shared" si="342"/>
        <v>0</v>
      </c>
      <c r="AX175" s="351"/>
      <c r="AY175" s="100">
        <f t="shared" si="371"/>
        <v>9.9166666666666661</v>
      </c>
      <c r="AZ175" s="360"/>
      <c r="BA175" s="91">
        <f t="shared" si="452"/>
        <v>-1650.7792136666699</v>
      </c>
      <c r="BB175" s="5">
        <f t="shared" si="306"/>
        <v>-9.9166666666666661</v>
      </c>
      <c r="BC175" s="363"/>
      <c r="BD175" s="91" t="e">
        <f t="shared" ca="1" si="343"/>
        <v>#N/A</v>
      </c>
      <c r="BE175" s="91" t="e">
        <f t="shared" ca="1" si="344"/>
        <v>#N/A</v>
      </c>
      <c r="BF175" s="91">
        <f t="shared" si="345"/>
        <v>31.833333333333329</v>
      </c>
      <c r="BG175" s="91" t="e">
        <f t="shared" ca="1" si="346"/>
        <v>#N/A</v>
      </c>
      <c r="BH175" s="91" t="e">
        <f t="shared" ca="1" si="392"/>
        <v>#N/A</v>
      </c>
      <c r="BI175" s="10" t="e">
        <f t="shared" ca="1" si="360"/>
        <v>#N/A</v>
      </c>
      <c r="BJ175" s="104">
        <f>((M175+Q175)*AJ175+AK175)+((U175-W175+W175/('Vergleich Holz Strom'!$B$8-0.6))*AO175+AP175)</f>
        <v>21.916666666666664</v>
      </c>
      <c r="BK175" s="10" t="e">
        <f t="shared" ca="1" si="307"/>
        <v>#N/A</v>
      </c>
      <c r="BL175" s="379"/>
      <c r="BM175" s="104" t="e">
        <f t="shared" ca="1" si="356"/>
        <v>#N/A</v>
      </c>
      <c r="BN175" s="40" t="e">
        <f ca="1">IF(ISNUMBER(BK175),BN174+SUMIF(BK170:BK181,"&lt;&gt;#NV",BK170:BK181)/COUNTIF(BK170:BK181,"&lt;&gt;#NV"),#N/A)</f>
        <v>#N/A</v>
      </c>
      <c r="BO175" s="10" t="e">
        <f t="shared" ca="1" si="448"/>
        <v>#N/A</v>
      </c>
      <c r="BP175" s="104" t="e">
        <f t="shared" ca="1" si="308"/>
        <v>#N/A</v>
      </c>
      <c r="BQ175" s="104">
        <f t="shared" ca="1" si="319"/>
        <v>-60023.90730237242</v>
      </c>
      <c r="BR175" s="10">
        <f t="shared" si="347"/>
        <v>9.9166666666666661</v>
      </c>
      <c r="BS175" s="311"/>
      <c r="BT175" s="307"/>
      <c r="BU175" s="295">
        <f t="shared" si="348"/>
        <v>0</v>
      </c>
      <c r="BV175" s="323"/>
      <c r="BW175" s="299">
        <f t="shared" si="349"/>
        <v>0</v>
      </c>
      <c r="BX175" s="295">
        <f t="shared" si="350"/>
        <v>0</v>
      </c>
      <c r="BY175" s="382"/>
      <c r="BZ175" s="299">
        <f t="shared" si="357"/>
        <v>0</v>
      </c>
      <c r="CA175" s="295">
        <f t="shared" si="362"/>
        <v>0</v>
      </c>
      <c r="CB175" s="323"/>
      <c r="CC175" s="314">
        <f t="shared" si="463"/>
        <v>0</v>
      </c>
      <c r="CD175" s="326"/>
      <c r="CE175" s="299">
        <f t="shared" si="351"/>
        <v>0</v>
      </c>
      <c r="CF175" s="284">
        <f t="shared" si="464"/>
        <v>0</v>
      </c>
      <c r="CG175" s="323"/>
      <c r="CH175" s="302">
        <f t="shared" si="389"/>
        <v>0</v>
      </c>
      <c r="CI175" s="108">
        <f t="shared" si="352"/>
        <v>0</v>
      </c>
      <c r="CJ175" s="200">
        <f t="shared" si="353"/>
        <v>0</v>
      </c>
      <c r="CK175" s="197">
        <f t="shared" si="369"/>
        <v>0</v>
      </c>
      <c r="CL175" s="203">
        <f t="shared" si="354"/>
        <v>12</v>
      </c>
      <c r="CM175" s="4">
        <f>U175*Jahresdaten!$AD$2</f>
        <v>0</v>
      </c>
      <c r="CN175" s="112">
        <f>CJ175*Jahresdaten!$AD$2</f>
        <v>0</v>
      </c>
      <c r="CO175" s="366"/>
      <c r="CP175" s="116">
        <f>U175*Jahresdaten!$AD$3</f>
        <v>0</v>
      </c>
      <c r="CQ175" s="12">
        <f>CJ175*Jahresdaten!$AD$3</f>
        <v>0</v>
      </c>
      <c r="CR175" s="353"/>
      <c r="CS175" s="14"/>
      <c r="CT175" s="136"/>
      <c r="CU175" s="140" t="str">
        <f>IF(CT175=0,"",CT175*'Vergleich Holz Strom'!$B$2)</f>
        <v/>
      </c>
      <c r="CV175" s="353"/>
      <c r="CW175" s="366"/>
      <c r="CX175" s="345"/>
      <c r="CY175" s="345"/>
      <c r="CZ175" s="345"/>
      <c r="DA175" s="348"/>
      <c r="DB175" s="94"/>
      <c r="DC175" s="88">
        <f t="shared" si="453"/>
        <v>28705.01133333327</v>
      </c>
      <c r="DD175" s="94"/>
      <c r="DE175" s="88">
        <f t="shared" si="465"/>
        <v>-22275.112547000001</v>
      </c>
      <c r="DF175" s="100" t="e">
        <f ca="1">BE175+(SUM(CS170:CS181)/12)</f>
        <v>#N/A</v>
      </c>
      <c r="DG175" s="351"/>
      <c r="DH175" s="8">
        <f t="shared" si="454"/>
        <v>0</v>
      </c>
      <c r="DI175" s="123">
        <f t="shared" si="309"/>
        <v>11850</v>
      </c>
      <c r="DJ175" s="2">
        <f t="shared" si="455"/>
        <v>0</v>
      </c>
      <c r="DK175" s="127">
        <f>DK181/12*6</f>
        <v>3900</v>
      </c>
      <c r="DL175" s="2">
        <f t="shared" si="456"/>
        <v>650</v>
      </c>
      <c r="DM175" s="130">
        <f t="shared" si="457"/>
        <v>0</v>
      </c>
      <c r="DN175" s="3">
        <f>DN181/12*6</f>
        <v>1500</v>
      </c>
      <c r="DO175" s="130">
        <f t="shared" si="458"/>
        <v>250</v>
      </c>
      <c r="DP175" s="4">
        <f t="shared" si="459"/>
        <v>0</v>
      </c>
      <c r="DQ175" s="116">
        <f t="shared" si="460"/>
        <v>6450</v>
      </c>
      <c r="DR175" s="116">
        <f t="shared" si="466"/>
        <v>1350</v>
      </c>
    </row>
    <row r="176" spans="1:122" ht="15" customHeight="1" thickBot="1" x14ac:dyDescent="0.2">
      <c r="A176" s="416"/>
      <c r="B176" s="16">
        <v>48670</v>
      </c>
      <c r="C176" s="207">
        <f>'PV-Felder'!$I$5</f>
        <v>2887.3</v>
      </c>
      <c r="D176" s="351"/>
      <c r="E176" s="61">
        <v>0</v>
      </c>
      <c r="F176" s="351"/>
      <c r="G176" s="56" t="e">
        <f t="shared" ca="1" si="339"/>
        <v>#N/A</v>
      </c>
      <c r="H176" s="351"/>
      <c r="I176" s="61">
        <v>0</v>
      </c>
      <c r="J176" s="351"/>
      <c r="K176" s="61">
        <v>0</v>
      </c>
      <c r="L176" s="351"/>
      <c r="M176" s="65">
        <f t="shared" si="358"/>
        <v>0</v>
      </c>
      <c r="N176" s="373"/>
      <c r="O176" s="288"/>
      <c r="P176" s="288"/>
      <c r="Q176" s="286">
        <f t="shared" si="340"/>
        <v>0</v>
      </c>
      <c r="R176" s="334"/>
      <c r="S176" s="61">
        <v>0</v>
      </c>
      <c r="T176" s="376"/>
      <c r="U176" s="61">
        <v>0</v>
      </c>
      <c r="V176" s="342"/>
      <c r="W176" s="61">
        <v>0</v>
      </c>
      <c r="X176" s="342"/>
      <c r="Y176" s="211" t="e">
        <f t="shared" si="444"/>
        <v>#N/A</v>
      </c>
      <c r="Z176" s="370"/>
      <c r="AA176" s="61">
        <v>0</v>
      </c>
      <c r="AB176" s="351"/>
      <c r="AC176" s="61">
        <v>0</v>
      </c>
      <c r="AD176" s="351"/>
      <c r="AE176" s="73" t="e">
        <f t="shared" si="303"/>
        <v>#N/A</v>
      </c>
      <c r="AF176" s="356"/>
      <c r="AG176" s="73" t="e">
        <f t="shared" si="304"/>
        <v>#N/A</v>
      </c>
      <c r="AH176" s="356"/>
      <c r="AI176" s="221">
        <f t="shared" si="461"/>
        <v>29.26</v>
      </c>
      <c r="AJ176" s="78">
        <f t="shared" ref="AJ176:AP176" si="470">AJ175</f>
        <v>0.26750000000000002</v>
      </c>
      <c r="AK176" s="79">
        <f t="shared" si="470"/>
        <v>9.9166666666666661</v>
      </c>
      <c r="AL176" s="80">
        <f t="shared" si="470"/>
        <v>187</v>
      </c>
      <c r="AM176" s="78">
        <f t="shared" si="470"/>
        <v>9.737942583732058E-2</v>
      </c>
      <c r="AN176" s="80">
        <f t="shared" si="470"/>
        <v>143</v>
      </c>
      <c r="AO176" s="78">
        <f t="shared" si="470"/>
        <v>0.21099999999999999</v>
      </c>
      <c r="AP176" s="88">
        <f t="shared" si="470"/>
        <v>12</v>
      </c>
      <c r="AQ176" s="64">
        <f t="shared" si="364"/>
        <v>21.5</v>
      </c>
      <c r="AR176" s="64">
        <f t="shared" si="365"/>
        <v>11.5</v>
      </c>
      <c r="AS176" s="88">
        <f t="shared" si="366"/>
        <v>1.1830000000000001</v>
      </c>
      <c r="AT176" s="91">
        <f t="shared" si="420"/>
        <v>283</v>
      </c>
      <c r="AU176" s="94"/>
      <c r="AV176" s="95"/>
      <c r="AW176" s="56">
        <f t="shared" si="342"/>
        <v>0</v>
      </c>
      <c r="AX176" s="351"/>
      <c r="AY176" s="100">
        <f t="shared" si="371"/>
        <v>9.9166666666666661</v>
      </c>
      <c r="AZ176" s="360"/>
      <c r="BA176" s="91">
        <f t="shared" si="452"/>
        <v>-1660.6958803333366</v>
      </c>
      <c r="BB176" s="5">
        <f t="shared" si="306"/>
        <v>-9.9166666666666661</v>
      </c>
      <c r="BC176" s="363"/>
      <c r="BD176" s="91" t="e">
        <f t="shared" ca="1" si="343"/>
        <v>#N/A</v>
      </c>
      <c r="BE176" s="91" t="e">
        <f t="shared" ca="1" si="344"/>
        <v>#N/A</v>
      </c>
      <c r="BF176" s="91">
        <f t="shared" si="345"/>
        <v>31.833333333333329</v>
      </c>
      <c r="BG176" s="91" t="e">
        <f t="shared" ca="1" si="346"/>
        <v>#N/A</v>
      </c>
      <c r="BH176" s="91" t="e">
        <f t="shared" ca="1" si="392"/>
        <v>#N/A</v>
      </c>
      <c r="BI176" s="10" t="e">
        <f t="shared" ca="1" si="360"/>
        <v>#N/A</v>
      </c>
      <c r="BJ176" s="104">
        <f>((M176+Q176)*AJ176+AK176)+((U176-W176+W176/('Vergleich Holz Strom'!$B$8-0.6))*AO176+AP176)</f>
        <v>21.916666666666664</v>
      </c>
      <c r="BK176" s="10" t="e">
        <f t="shared" ca="1" si="307"/>
        <v>#N/A</v>
      </c>
      <c r="BL176" s="379"/>
      <c r="BM176" s="104" t="e">
        <f t="shared" ca="1" si="356"/>
        <v>#N/A</v>
      </c>
      <c r="BN176" s="40" t="e">
        <f ca="1">IF(ISNUMBER(BK176),BN175+SUMIF(BK170:BK181,"&lt;&gt;#NV",BK170:BK181)/COUNTIF(BK170:BK181,"&lt;&gt;#NV"),#N/A)</f>
        <v>#N/A</v>
      </c>
      <c r="BO176" s="10" t="e">
        <f t="shared" ca="1" si="448"/>
        <v>#N/A</v>
      </c>
      <c r="BP176" s="104" t="e">
        <f t="shared" ca="1" si="308"/>
        <v>#N/A</v>
      </c>
      <c r="BQ176" s="104">
        <f t="shared" ca="1" si="319"/>
        <v>-60004.707302372393</v>
      </c>
      <c r="BR176" s="10">
        <f t="shared" si="347"/>
        <v>9.9166666666666661</v>
      </c>
      <c r="BS176" s="311"/>
      <c r="BT176" s="307"/>
      <c r="BU176" s="295">
        <f t="shared" si="348"/>
        <v>0</v>
      </c>
      <c r="BV176" s="323"/>
      <c r="BW176" s="299">
        <f t="shared" si="349"/>
        <v>0</v>
      </c>
      <c r="BX176" s="295">
        <f t="shared" si="350"/>
        <v>0</v>
      </c>
      <c r="BY176" s="382"/>
      <c r="BZ176" s="299">
        <f t="shared" si="357"/>
        <v>0</v>
      </c>
      <c r="CA176" s="295">
        <f t="shared" si="362"/>
        <v>0</v>
      </c>
      <c r="CB176" s="323"/>
      <c r="CC176" s="314">
        <f t="shared" si="463"/>
        <v>0</v>
      </c>
      <c r="CD176" s="326"/>
      <c r="CE176" s="299">
        <f t="shared" si="351"/>
        <v>0</v>
      </c>
      <c r="CF176" s="284">
        <f t="shared" si="464"/>
        <v>0</v>
      </c>
      <c r="CG176" s="323"/>
      <c r="CH176" s="302">
        <f t="shared" si="389"/>
        <v>0</v>
      </c>
      <c r="CI176" s="108">
        <f t="shared" si="352"/>
        <v>0</v>
      </c>
      <c r="CJ176" s="200">
        <f t="shared" si="353"/>
        <v>0</v>
      </c>
      <c r="CK176" s="197">
        <f t="shared" si="369"/>
        <v>0</v>
      </c>
      <c r="CL176" s="203">
        <f t="shared" si="354"/>
        <v>12</v>
      </c>
      <c r="CM176" s="4">
        <f>U176*Jahresdaten!$AD$2</f>
        <v>0</v>
      </c>
      <c r="CN176" s="112">
        <f>CJ176*Jahresdaten!$AD$2</f>
        <v>0</v>
      </c>
      <c r="CO176" s="366"/>
      <c r="CP176" s="116">
        <f>U176*Jahresdaten!$AD$3</f>
        <v>0</v>
      </c>
      <c r="CQ176" s="12">
        <f>CJ176*Jahresdaten!$AD$3</f>
        <v>0</v>
      </c>
      <c r="CR176" s="353"/>
      <c r="CS176" s="14"/>
      <c r="CT176" s="136"/>
      <c r="CU176" s="140" t="str">
        <f>IF(CT176=0,"",CT176*'Vergleich Holz Strom'!$B$2)</f>
        <v/>
      </c>
      <c r="CV176" s="121" t="s">
        <v>6</v>
      </c>
      <c r="CW176" s="366"/>
      <c r="CX176" s="345"/>
      <c r="CY176" s="345"/>
      <c r="CZ176" s="345"/>
      <c r="DA176" s="348"/>
      <c r="DB176" s="94"/>
      <c r="DC176" s="88">
        <f t="shared" si="453"/>
        <v>28882.094666666602</v>
      </c>
      <c r="DD176" s="94"/>
      <c r="DE176" s="88">
        <f t="shared" si="465"/>
        <v>-22418.112547000001</v>
      </c>
      <c r="DF176" s="100" t="e">
        <f ca="1">BE176+(SUM(CS170:CS181)/12)</f>
        <v>#N/A</v>
      </c>
      <c r="DG176" s="351"/>
      <c r="DH176" s="8">
        <f t="shared" si="454"/>
        <v>0</v>
      </c>
      <c r="DI176" s="123">
        <f t="shared" si="309"/>
        <v>14000</v>
      </c>
      <c r="DJ176" s="2">
        <f t="shared" si="455"/>
        <v>0</v>
      </c>
      <c r="DK176" s="127">
        <f>DK181/12*7</f>
        <v>4550</v>
      </c>
      <c r="DL176" s="2">
        <f t="shared" si="456"/>
        <v>650</v>
      </c>
      <c r="DM176" s="130">
        <f t="shared" si="457"/>
        <v>0</v>
      </c>
      <c r="DN176" s="3">
        <f>DN181/12*7</f>
        <v>1750</v>
      </c>
      <c r="DO176" s="130">
        <f t="shared" si="458"/>
        <v>250</v>
      </c>
      <c r="DP176" s="4">
        <f t="shared" si="459"/>
        <v>0</v>
      </c>
      <c r="DQ176" s="116">
        <f t="shared" si="460"/>
        <v>7700</v>
      </c>
      <c r="DR176" s="116">
        <f t="shared" si="466"/>
        <v>1250</v>
      </c>
    </row>
    <row r="177" spans="1:122" ht="14.25" customHeight="1" thickBot="1" x14ac:dyDescent="0.2">
      <c r="A177" s="416"/>
      <c r="B177" s="16">
        <v>48700</v>
      </c>
      <c r="C177" s="207">
        <f>'PV-Felder'!$I$6</f>
        <v>3391.3999999999996</v>
      </c>
      <c r="D177" s="351"/>
      <c r="E177" s="61">
        <v>0</v>
      </c>
      <c r="F177" s="351"/>
      <c r="G177" s="56" t="e">
        <f t="shared" ca="1" si="339"/>
        <v>#N/A</v>
      </c>
      <c r="H177" s="351"/>
      <c r="I177" s="61">
        <v>0</v>
      </c>
      <c r="J177" s="351"/>
      <c r="K177" s="61">
        <v>0</v>
      </c>
      <c r="L177" s="351"/>
      <c r="M177" s="65">
        <f t="shared" si="358"/>
        <v>0</v>
      </c>
      <c r="N177" s="373"/>
      <c r="O177" s="288"/>
      <c r="P177" s="288"/>
      <c r="Q177" s="286">
        <f t="shared" si="340"/>
        <v>0</v>
      </c>
      <c r="R177" s="334"/>
      <c r="S177" s="61">
        <v>0</v>
      </c>
      <c r="T177" s="376"/>
      <c r="U177" s="61">
        <v>0</v>
      </c>
      <c r="V177" s="342"/>
      <c r="W177" s="61">
        <v>0</v>
      </c>
      <c r="X177" s="342"/>
      <c r="Y177" s="211" t="e">
        <f t="shared" si="444"/>
        <v>#N/A</v>
      </c>
      <c r="Z177" s="370"/>
      <c r="AA177" s="61">
        <v>0</v>
      </c>
      <c r="AB177" s="351"/>
      <c r="AC177" s="61">
        <v>0</v>
      </c>
      <c r="AD177" s="351"/>
      <c r="AE177" s="73" t="e">
        <f t="shared" si="303"/>
        <v>#N/A</v>
      </c>
      <c r="AF177" s="356"/>
      <c r="AG177" s="73" t="e">
        <f t="shared" si="304"/>
        <v>#N/A</v>
      </c>
      <c r="AH177" s="356"/>
      <c r="AI177" s="221">
        <f t="shared" si="461"/>
        <v>29.26</v>
      </c>
      <c r="AJ177" s="78">
        <f t="shared" ref="AJ177:AP177" si="471">AJ176</f>
        <v>0.26750000000000002</v>
      </c>
      <c r="AK177" s="79">
        <f t="shared" si="471"/>
        <v>9.9166666666666661</v>
      </c>
      <c r="AL177" s="80">
        <f t="shared" si="471"/>
        <v>187</v>
      </c>
      <c r="AM177" s="78">
        <f t="shared" si="471"/>
        <v>9.737942583732058E-2</v>
      </c>
      <c r="AN177" s="80">
        <f t="shared" si="471"/>
        <v>143</v>
      </c>
      <c r="AO177" s="78">
        <f t="shared" si="471"/>
        <v>0.21099999999999999</v>
      </c>
      <c r="AP177" s="88">
        <f t="shared" si="471"/>
        <v>12</v>
      </c>
      <c r="AQ177" s="64">
        <f t="shared" si="364"/>
        <v>21.5</v>
      </c>
      <c r="AR177" s="64">
        <f t="shared" si="365"/>
        <v>11.5</v>
      </c>
      <c r="AS177" s="88">
        <f t="shared" si="366"/>
        <v>1.1830000000000001</v>
      </c>
      <c r="AT177" s="91">
        <f t="shared" si="420"/>
        <v>283</v>
      </c>
      <c r="AU177" s="94"/>
      <c r="AV177" s="95"/>
      <c r="AW177" s="56">
        <f t="shared" si="342"/>
        <v>0</v>
      </c>
      <c r="AX177" s="351"/>
      <c r="AY177" s="100">
        <f t="shared" si="371"/>
        <v>9.9166666666666661</v>
      </c>
      <c r="AZ177" s="360"/>
      <c r="BA177" s="91">
        <f t="shared" si="452"/>
        <v>-1670.6125470000034</v>
      </c>
      <c r="BB177" s="5">
        <f t="shared" si="306"/>
        <v>-9.9166666666666661</v>
      </c>
      <c r="BC177" s="363"/>
      <c r="BD177" s="91" t="e">
        <f t="shared" ca="1" si="343"/>
        <v>#N/A</v>
      </c>
      <c r="BE177" s="91" t="e">
        <f t="shared" ca="1" si="344"/>
        <v>#N/A</v>
      </c>
      <c r="BF177" s="91">
        <f t="shared" si="345"/>
        <v>31.833333333333329</v>
      </c>
      <c r="BG177" s="91" t="e">
        <f t="shared" ca="1" si="346"/>
        <v>#N/A</v>
      </c>
      <c r="BH177" s="91" t="e">
        <f t="shared" ca="1" si="392"/>
        <v>#N/A</v>
      </c>
      <c r="BI177" s="10" t="e">
        <f t="shared" ca="1" si="360"/>
        <v>#N/A</v>
      </c>
      <c r="BJ177" s="104">
        <f>((M177+Q177)*AJ177+AK177)+((U177-W177+W177/('Vergleich Holz Strom'!$B$8-0.6))*AO177+AP177)</f>
        <v>21.916666666666664</v>
      </c>
      <c r="BK177" s="10" t="e">
        <f t="shared" ca="1" si="307"/>
        <v>#N/A</v>
      </c>
      <c r="BL177" s="379"/>
      <c r="BM177" s="104" t="e">
        <f t="shared" ca="1" si="356"/>
        <v>#N/A</v>
      </c>
      <c r="BN177" s="40" t="e">
        <f ca="1">IF(ISNUMBER(BK177),BN176+SUMIF(BK170:BK181,"&lt;&gt;#NV",BK170:BK181)/COUNTIF(BK170:BK181,"&lt;&gt;#NV"),#N/A)</f>
        <v>#N/A</v>
      </c>
      <c r="BO177" s="10" t="e">
        <f t="shared" ca="1" si="448"/>
        <v>#N/A</v>
      </c>
      <c r="BP177" s="104" t="e">
        <f t="shared" ca="1" si="308"/>
        <v>#N/A</v>
      </c>
      <c r="BQ177" s="104">
        <f t="shared" ca="1" si="319"/>
        <v>-59985.507302372382</v>
      </c>
      <c r="BR177" s="10">
        <f t="shared" si="347"/>
        <v>9.9166666666666661</v>
      </c>
      <c r="BS177" s="311"/>
      <c r="BT177" s="307"/>
      <c r="BU177" s="295">
        <f t="shared" si="348"/>
        <v>0</v>
      </c>
      <c r="BV177" s="323"/>
      <c r="BW177" s="299">
        <f t="shared" si="349"/>
        <v>0</v>
      </c>
      <c r="BX177" s="295">
        <f t="shared" si="350"/>
        <v>0</v>
      </c>
      <c r="BY177" s="382"/>
      <c r="BZ177" s="299">
        <f t="shared" si="357"/>
        <v>0</v>
      </c>
      <c r="CA177" s="295">
        <f t="shared" si="362"/>
        <v>0</v>
      </c>
      <c r="CB177" s="323"/>
      <c r="CC177" s="314">
        <f t="shared" si="463"/>
        <v>0</v>
      </c>
      <c r="CD177" s="326"/>
      <c r="CE177" s="299">
        <f t="shared" si="351"/>
        <v>0</v>
      </c>
      <c r="CF177" s="284">
        <f t="shared" si="464"/>
        <v>0</v>
      </c>
      <c r="CG177" s="323"/>
      <c r="CH177" s="302">
        <f t="shared" si="389"/>
        <v>0</v>
      </c>
      <c r="CI177" s="108">
        <f t="shared" si="352"/>
        <v>0</v>
      </c>
      <c r="CJ177" s="200">
        <f t="shared" si="353"/>
        <v>0</v>
      </c>
      <c r="CK177" s="197">
        <f t="shared" si="369"/>
        <v>0</v>
      </c>
      <c r="CL177" s="203">
        <f t="shared" si="354"/>
        <v>12</v>
      </c>
      <c r="CM177" s="4">
        <f>U177*Jahresdaten!$AD$2</f>
        <v>0</v>
      </c>
      <c r="CN177" s="112">
        <f>CJ177*Jahresdaten!$AD$2</f>
        <v>0</v>
      </c>
      <c r="CO177" s="366"/>
      <c r="CP177" s="116">
        <f>U177*Jahresdaten!$AD$3</f>
        <v>0</v>
      </c>
      <c r="CQ177" s="12">
        <f>CJ177*Jahresdaten!$AD$3</f>
        <v>0</v>
      </c>
      <c r="CR177" s="353"/>
      <c r="CS177" s="14"/>
      <c r="CT177" s="136"/>
      <c r="CU177" s="140" t="str">
        <f>IF(CT177=0,"",CT177*'Vergleich Holz Strom'!$B$2)</f>
        <v/>
      </c>
      <c r="CV177" s="353">
        <f>SUM(CS170:CS181)</f>
        <v>1169</v>
      </c>
      <c r="CW177" s="366"/>
      <c r="CX177" s="345"/>
      <c r="CY177" s="345"/>
      <c r="CZ177" s="345"/>
      <c r="DA177" s="348"/>
      <c r="DB177" s="94"/>
      <c r="DC177" s="88">
        <f t="shared" si="453"/>
        <v>29059.177999999934</v>
      </c>
      <c r="DD177" s="94"/>
      <c r="DE177" s="88">
        <f t="shared" si="465"/>
        <v>-22561.112547000001</v>
      </c>
      <c r="DF177" s="100" t="e">
        <f ca="1">BE177+(SUM(CS170:CS181)/12)</f>
        <v>#N/A</v>
      </c>
      <c r="DG177" s="351"/>
      <c r="DH177" s="8">
        <f t="shared" si="454"/>
        <v>0</v>
      </c>
      <c r="DI177" s="123">
        <f t="shared" si="309"/>
        <v>16000</v>
      </c>
      <c r="DJ177" s="2">
        <f t="shared" si="455"/>
        <v>0</v>
      </c>
      <c r="DK177" s="127">
        <f>DK181/12*8</f>
        <v>5200</v>
      </c>
      <c r="DL177" s="2">
        <f t="shared" si="456"/>
        <v>650</v>
      </c>
      <c r="DM177" s="130">
        <f t="shared" si="457"/>
        <v>0</v>
      </c>
      <c r="DN177" s="3">
        <f>DN181/12*8</f>
        <v>2000</v>
      </c>
      <c r="DO177" s="130">
        <f t="shared" si="458"/>
        <v>250</v>
      </c>
      <c r="DP177" s="4">
        <f t="shared" si="459"/>
        <v>0</v>
      </c>
      <c r="DQ177" s="116">
        <f t="shared" si="460"/>
        <v>8800</v>
      </c>
      <c r="DR177" s="116">
        <f t="shared" si="466"/>
        <v>1100</v>
      </c>
    </row>
    <row r="178" spans="1:122" ht="14.25" customHeight="1" thickBot="1" x14ac:dyDescent="0.2">
      <c r="A178" s="416"/>
      <c r="B178" s="16">
        <v>48731</v>
      </c>
      <c r="C178" s="207">
        <f>'PV-Felder'!$I$7</f>
        <v>3595.6000000000004</v>
      </c>
      <c r="D178" s="351"/>
      <c r="E178" s="61">
        <v>0</v>
      </c>
      <c r="F178" s="351"/>
      <c r="G178" s="56" t="e">
        <f t="shared" ca="1" si="339"/>
        <v>#N/A</v>
      </c>
      <c r="H178" s="351"/>
      <c r="I178" s="61">
        <v>0</v>
      </c>
      <c r="J178" s="351"/>
      <c r="K178" s="61">
        <v>0</v>
      </c>
      <c r="L178" s="351"/>
      <c r="M178" s="65">
        <f t="shared" si="358"/>
        <v>0</v>
      </c>
      <c r="N178" s="373"/>
      <c r="O178" s="288"/>
      <c r="P178" s="288"/>
      <c r="Q178" s="286">
        <f t="shared" si="340"/>
        <v>0</v>
      </c>
      <c r="R178" s="334"/>
      <c r="S178" s="61">
        <v>0</v>
      </c>
      <c r="T178" s="376"/>
      <c r="U178" s="61">
        <v>0</v>
      </c>
      <c r="V178" s="342"/>
      <c r="W178" s="61">
        <v>0</v>
      </c>
      <c r="X178" s="342"/>
      <c r="Y178" s="211" t="e">
        <f t="shared" si="444"/>
        <v>#N/A</v>
      </c>
      <c r="Z178" s="370"/>
      <c r="AA178" s="61">
        <v>0</v>
      </c>
      <c r="AB178" s="351"/>
      <c r="AC178" s="61">
        <v>0</v>
      </c>
      <c r="AD178" s="351"/>
      <c r="AE178" s="73" t="e">
        <f t="shared" ref="AE178:AE241" si="472">IF(E178=0,#N/A,1/E178*(E178-AC178))</f>
        <v>#N/A</v>
      </c>
      <c r="AF178" s="356"/>
      <c r="AG178" s="73" t="e">
        <f t="shared" ref="AG178:AG241" si="473">IF(E178=0,#N/A,1/(I178+K178+AA178)*(I178+K178))</f>
        <v>#N/A</v>
      </c>
      <c r="AH178" s="356"/>
      <c r="AI178" s="221">
        <f t="shared" si="461"/>
        <v>29.26</v>
      </c>
      <c r="AJ178" s="78">
        <f t="shared" ref="AJ178:AP178" si="474">AJ177</f>
        <v>0.26750000000000002</v>
      </c>
      <c r="AK178" s="79">
        <f t="shared" si="474"/>
        <v>9.9166666666666661</v>
      </c>
      <c r="AL178" s="80">
        <f t="shared" si="474"/>
        <v>187</v>
      </c>
      <c r="AM178" s="78">
        <f t="shared" si="474"/>
        <v>9.737942583732058E-2</v>
      </c>
      <c r="AN178" s="80">
        <f t="shared" si="474"/>
        <v>143</v>
      </c>
      <c r="AO178" s="78">
        <f t="shared" si="474"/>
        <v>0.21099999999999999</v>
      </c>
      <c r="AP178" s="88">
        <f t="shared" si="474"/>
        <v>12</v>
      </c>
      <c r="AQ178" s="64">
        <f t="shared" si="364"/>
        <v>21.5</v>
      </c>
      <c r="AR178" s="64">
        <f t="shared" si="365"/>
        <v>11.5</v>
      </c>
      <c r="AS178" s="88">
        <f t="shared" si="366"/>
        <v>1.1830000000000001</v>
      </c>
      <c r="AT178" s="91">
        <f t="shared" si="420"/>
        <v>283</v>
      </c>
      <c r="AU178" s="94"/>
      <c r="AV178" s="95"/>
      <c r="AW178" s="56">
        <f t="shared" si="342"/>
        <v>0</v>
      </c>
      <c r="AX178" s="351"/>
      <c r="AY178" s="100">
        <f t="shared" si="371"/>
        <v>9.9166666666666661</v>
      </c>
      <c r="AZ178" s="360"/>
      <c r="BA178" s="91">
        <f t="shared" si="452"/>
        <v>-1680.5292136666701</v>
      </c>
      <c r="BB178" s="5">
        <f t="shared" ref="BB178:BB241" si="475">-AY178</f>
        <v>-9.9166666666666661</v>
      </c>
      <c r="BC178" s="363"/>
      <c r="BD178" s="91" t="e">
        <f t="shared" ca="1" si="343"/>
        <v>#N/A</v>
      </c>
      <c r="BE178" s="91" t="e">
        <f t="shared" ca="1" si="344"/>
        <v>#N/A</v>
      </c>
      <c r="BF178" s="91">
        <f t="shared" si="345"/>
        <v>31.833333333333329</v>
      </c>
      <c r="BG178" s="91" t="e">
        <f t="shared" ca="1" si="346"/>
        <v>#N/A</v>
      </c>
      <c r="BH178" s="91" t="e">
        <f t="shared" ca="1" si="392"/>
        <v>#N/A</v>
      </c>
      <c r="BI178" s="10" t="e">
        <f t="shared" ca="1" si="360"/>
        <v>#N/A</v>
      </c>
      <c r="BJ178" s="104">
        <f>((M178+Q178)*AJ178+AK178)+((U178-W178+W178/('Vergleich Holz Strom'!$B$8-0.6))*AO178+AP178)</f>
        <v>21.916666666666664</v>
      </c>
      <c r="BK178" s="10" t="e">
        <f t="shared" ref="BK178:BK241" ca="1" si="476">BJ178-BI178</f>
        <v>#N/A</v>
      </c>
      <c r="BL178" s="379"/>
      <c r="BM178" s="104" t="e">
        <f t="shared" ca="1" si="356"/>
        <v>#N/A</v>
      </c>
      <c r="BN178" s="40" t="e">
        <f ca="1">IF(ISNUMBER(BK178),BN177+SUMIF(BK170:BK181,"&lt;&gt;#NV",BK170:BK181)/COUNTIF(BK170:BK181,"&lt;&gt;#NV"),#N/A)</f>
        <v>#N/A</v>
      </c>
      <c r="BO178" s="10" t="e">
        <f t="shared" ca="1" si="448"/>
        <v>#N/A</v>
      </c>
      <c r="BP178" s="104" t="e">
        <f t="shared" ref="BP178:BP241" ca="1" si="477">BP177+BO178</f>
        <v>#N/A</v>
      </c>
      <c r="BQ178" s="104">
        <f t="shared" ca="1" si="319"/>
        <v>-59969.304406472373</v>
      </c>
      <c r="BR178" s="10">
        <f t="shared" si="347"/>
        <v>9.9166666666666661</v>
      </c>
      <c r="BS178" s="311"/>
      <c r="BT178" s="307"/>
      <c r="BU178" s="295">
        <f t="shared" si="348"/>
        <v>0</v>
      </c>
      <c r="BV178" s="323"/>
      <c r="BW178" s="299">
        <f t="shared" si="349"/>
        <v>0</v>
      </c>
      <c r="BX178" s="295">
        <f t="shared" si="350"/>
        <v>0</v>
      </c>
      <c r="BY178" s="382"/>
      <c r="BZ178" s="299">
        <f t="shared" si="357"/>
        <v>0</v>
      </c>
      <c r="CA178" s="295">
        <f t="shared" si="362"/>
        <v>0</v>
      </c>
      <c r="CB178" s="323"/>
      <c r="CC178" s="314">
        <f t="shared" si="463"/>
        <v>0</v>
      </c>
      <c r="CD178" s="326"/>
      <c r="CE178" s="299">
        <f t="shared" si="351"/>
        <v>0</v>
      </c>
      <c r="CF178" s="284">
        <f t="shared" si="464"/>
        <v>0</v>
      </c>
      <c r="CG178" s="323"/>
      <c r="CH178" s="302">
        <f t="shared" si="389"/>
        <v>0</v>
      </c>
      <c r="CI178" s="108">
        <f t="shared" si="352"/>
        <v>0</v>
      </c>
      <c r="CJ178" s="200">
        <f t="shared" si="353"/>
        <v>0</v>
      </c>
      <c r="CK178" s="197">
        <f t="shared" si="369"/>
        <v>0</v>
      </c>
      <c r="CL178" s="203">
        <f t="shared" si="354"/>
        <v>12</v>
      </c>
      <c r="CM178" s="4">
        <f>U178*Jahresdaten!$AD$2</f>
        <v>0</v>
      </c>
      <c r="CN178" s="112">
        <f>CJ178*Jahresdaten!$AD$2</f>
        <v>0</v>
      </c>
      <c r="CO178" s="366"/>
      <c r="CP178" s="116">
        <f>U178*Jahresdaten!$AD$3</f>
        <v>0</v>
      </c>
      <c r="CQ178" s="12">
        <f>CJ178*Jahresdaten!$AD$3</f>
        <v>0</v>
      </c>
      <c r="CR178" s="353"/>
      <c r="CS178" s="14"/>
      <c r="CT178" s="136"/>
      <c r="CU178" s="140" t="str">
        <f>IF(CT178=0,"",CT178*'Vergleich Holz Strom'!$B$2)</f>
        <v/>
      </c>
      <c r="CV178" s="353"/>
      <c r="CW178" s="366"/>
      <c r="CX178" s="345"/>
      <c r="CY178" s="345"/>
      <c r="CZ178" s="345"/>
      <c r="DA178" s="348"/>
      <c r="DB178" s="94"/>
      <c r="DC178" s="88">
        <f t="shared" si="453"/>
        <v>29236.261333333267</v>
      </c>
      <c r="DD178" s="94"/>
      <c r="DE178" s="88">
        <f t="shared" si="465"/>
        <v>-22704.112547000001</v>
      </c>
      <c r="DF178" s="100" t="e">
        <f ca="1">BE178+(SUM(CS170:CS181)/12)</f>
        <v>#N/A</v>
      </c>
      <c r="DG178" s="351"/>
      <c r="DH178" s="8">
        <f t="shared" si="454"/>
        <v>0</v>
      </c>
      <c r="DI178" s="123">
        <f t="shared" ref="DI178:DI241" si="478">DK178+DN178+DQ178</f>
        <v>17200</v>
      </c>
      <c r="DJ178" s="2">
        <f t="shared" si="455"/>
        <v>0</v>
      </c>
      <c r="DK178" s="127">
        <f>DK181/12*9</f>
        <v>5850</v>
      </c>
      <c r="DL178" s="2">
        <f t="shared" si="456"/>
        <v>650</v>
      </c>
      <c r="DM178" s="130">
        <f t="shared" si="457"/>
        <v>0</v>
      </c>
      <c r="DN178" s="3">
        <f>DN181/12*9</f>
        <v>2250</v>
      </c>
      <c r="DO178" s="130">
        <f t="shared" si="458"/>
        <v>250</v>
      </c>
      <c r="DP178" s="4">
        <f t="shared" si="459"/>
        <v>0</v>
      </c>
      <c r="DQ178" s="116">
        <f t="shared" si="460"/>
        <v>9100</v>
      </c>
      <c r="DR178" s="116">
        <f t="shared" si="466"/>
        <v>300</v>
      </c>
    </row>
    <row r="179" spans="1:122" ht="14.25" customHeight="1" thickBot="1" x14ac:dyDescent="0.2">
      <c r="A179" s="416"/>
      <c r="B179" s="16">
        <v>48761</v>
      </c>
      <c r="C179" s="207">
        <f>'PV-Felder'!$I$8</f>
        <v>3593.8</v>
      </c>
      <c r="D179" s="351"/>
      <c r="E179" s="61">
        <v>0</v>
      </c>
      <c r="F179" s="351"/>
      <c r="G179" s="56" t="e">
        <f t="shared" ca="1" si="339"/>
        <v>#N/A</v>
      </c>
      <c r="H179" s="351"/>
      <c r="I179" s="61">
        <v>0</v>
      </c>
      <c r="J179" s="351"/>
      <c r="K179" s="61">
        <v>0</v>
      </c>
      <c r="L179" s="351"/>
      <c r="M179" s="65">
        <f t="shared" si="358"/>
        <v>0</v>
      </c>
      <c r="N179" s="373"/>
      <c r="O179" s="288"/>
      <c r="P179" s="288"/>
      <c r="Q179" s="286">
        <f t="shared" si="340"/>
        <v>0</v>
      </c>
      <c r="R179" s="334"/>
      <c r="S179" s="61">
        <v>0</v>
      </c>
      <c r="T179" s="376"/>
      <c r="U179" s="61">
        <v>0</v>
      </c>
      <c r="V179" s="342"/>
      <c r="W179" s="61">
        <v>0</v>
      </c>
      <c r="X179" s="342"/>
      <c r="Y179" s="211" t="e">
        <f t="shared" si="444"/>
        <v>#N/A</v>
      </c>
      <c r="Z179" s="370"/>
      <c r="AA179" s="61">
        <v>0</v>
      </c>
      <c r="AB179" s="351"/>
      <c r="AC179" s="61">
        <v>0</v>
      </c>
      <c r="AD179" s="351"/>
      <c r="AE179" s="73" t="e">
        <f t="shared" si="472"/>
        <v>#N/A</v>
      </c>
      <c r="AF179" s="356"/>
      <c r="AG179" s="73" t="e">
        <f t="shared" si="473"/>
        <v>#N/A</v>
      </c>
      <c r="AH179" s="356"/>
      <c r="AI179" s="221">
        <f t="shared" si="461"/>
        <v>29.26</v>
      </c>
      <c r="AJ179" s="78">
        <f t="shared" ref="AJ179:AP179" si="479">AJ178</f>
        <v>0.26750000000000002</v>
      </c>
      <c r="AK179" s="79">
        <f t="shared" si="479"/>
        <v>9.9166666666666661</v>
      </c>
      <c r="AL179" s="80">
        <f t="shared" si="479"/>
        <v>187</v>
      </c>
      <c r="AM179" s="78">
        <f t="shared" si="479"/>
        <v>9.737942583732058E-2</v>
      </c>
      <c r="AN179" s="80">
        <f t="shared" si="479"/>
        <v>143</v>
      </c>
      <c r="AO179" s="78">
        <f t="shared" si="479"/>
        <v>0.21099999999999999</v>
      </c>
      <c r="AP179" s="88">
        <f t="shared" si="479"/>
        <v>12</v>
      </c>
      <c r="AQ179" s="64">
        <f t="shared" si="364"/>
        <v>21.5</v>
      </c>
      <c r="AR179" s="64">
        <f t="shared" si="365"/>
        <v>11.5</v>
      </c>
      <c r="AS179" s="88">
        <f t="shared" si="366"/>
        <v>1.1830000000000001</v>
      </c>
      <c r="AT179" s="91">
        <f t="shared" si="420"/>
        <v>283</v>
      </c>
      <c r="AU179" s="94"/>
      <c r="AV179" s="95"/>
      <c r="AW179" s="56">
        <f t="shared" si="342"/>
        <v>0</v>
      </c>
      <c r="AX179" s="351"/>
      <c r="AY179" s="100">
        <f t="shared" si="371"/>
        <v>9.9166666666666661</v>
      </c>
      <c r="AZ179" s="360"/>
      <c r="BA179" s="91">
        <f t="shared" si="452"/>
        <v>-1690.4458803333368</v>
      </c>
      <c r="BB179" s="5">
        <f t="shared" si="475"/>
        <v>-9.9166666666666661</v>
      </c>
      <c r="BC179" s="363"/>
      <c r="BD179" s="91" t="e">
        <f t="shared" ca="1" si="343"/>
        <v>#N/A</v>
      </c>
      <c r="BE179" s="91" t="e">
        <f t="shared" ca="1" si="344"/>
        <v>#N/A</v>
      </c>
      <c r="BF179" s="91">
        <f t="shared" si="345"/>
        <v>31.833333333333329</v>
      </c>
      <c r="BG179" s="91" t="e">
        <f t="shared" ca="1" si="346"/>
        <v>#N/A</v>
      </c>
      <c r="BH179" s="91" t="e">
        <f t="shared" ca="1" si="392"/>
        <v>#N/A</v>
      </c>
      <c r="BI179" s="10" t="e">
        <f t="shared" ca="1" si="360"/>
        <v>#N/A</v>
      </c>
      <c r="BJ179" s="104">
        <f>((M179+Q179)*AJ179+AK179)+((U179-W179+W179/('Vergleich Holz Strom'!$B$8-0.6))*AO179+AP179)</f>
        <v>21.916666666666664</v>
      </c>
      <c r="BK179" s="10" t="e">
        <f t="shared" ca="1" si="476"/>
        <v>#N/A</v>
      </c>
      <c r="BL179" s="379"/>
      <c r="BM179" s="104" t="e">
        <f t="shared" ca="1" si="356"/>
        <v>#N/A</v>
      </c>
      <c r="BN179" s="40" t="e">
        <f ca="1">IF(ISNUMBER(BK179),BN178+SUMIF(BK170:BK181,"&lt;&gt;#NV",BK170:BK181)/COUNTIF(BK170:BK181,"&lt;&gt;#NV"),#N/A)</f>
        <v>#N/A</v>
      </c>
      <c r="BO179" s="10" t="e">
        <f ca="1">BK179+AT179+AU179</f>
        <v>#N/A</v>
      </c>
      <c r="BP179" s="104" t="e">
        <f t="shared" ca="1" si="477"/>
        <v>#N/A</v>
      </c>
      <c r="BQ179" s="104">
        <f t="shared" ca="1" si="319"/>
        <v>-59953.101510572364</v>
      </c>
      <c r="BR179" s="10">
        <f t="shared" si="347"/>
        <v>9.9166666666666661</v>
      </c>
      <c r="BS179" s="311"/>
      <c r="BT179" s="307"/>
      <c r="BU179" s="295">
        <f t="shared" si="348"/>
        <v>0</v>
      </c>
      <c r="BV179" s="323"/>
      <c r="BW179" s="299">
        <f t="shared" si="349"/>
        <v>0</v>
      </c>
      <c r="BX179" s="295">
        <f t="shared" si="350"/>
        <v>0</v>
      </c>
      <c r="BY179" s="382"/>
      <c r="BZ179" s="299">
        <f t="shared" si="357"/>
        <v>0</v>
      </c>
      <c r="CA179" s="295">
        <f t="shared" si="362"/>
        <v>0</v>
      </c>
      <c r="CB179" s="323"/>
      <c r="CC179" s="314">
        <f t="shared" si="463"/>
        <v>0</v>
      </c>
      <c r="CD179" s="326"/>
      <c r="CE179" s="299">
        <f t="shared" si="351"/>
        <v>0</v>
      </c>
      <c r="CF179" s="284">
        <f t="shared" si="464"/>
        <v>0</v>
      </c>
      <c r="CG179" s="323"/>
      <c r="CH179" s="302">
        <f t="shared" si="389"/>
        <v>0</v>
      </c>
      <c r="CI179" s="108">
        <f t="shared" si="352"/>
        <v>0</v>
      </c>
      <c r="CJ179" s="200">
        <f t="shared" si="353"/>
        <v>0</v>
      </c>
      <c r="CK179" s="197">
        <f t="shared" si="369"/>
        <v>0</v>
      </c>
      <c r="CL179" s="203">
        <f t="shared" si="354"/>
        <v>12</v>
      </c>
      <c r="CM179" s="4">
        <f>U179*Jahresdaten!$AD$2</f>
        <v>0</v>
      </c>
      <c r="CN179" s="112">
        <f>CJ179*Jahresdaten!$AD$2</f>
        <v>0</v>
      </c>
      <c r="CO179" s="366"/>
      <c r="CP179" s="116">
        <f>U179*Jahresdaten!$AD$3</f>
        <v>0</v>
      </c>
      <c r="CQ179" s="12">
        <f>CJ179*Jahresdaten!$AD$3</f>
        <v>0</v>
      </c>
      <c r="CR179" s="353"/>
      <c r="CS179" s="14"/>
      <c r="CT179" s="136"/>
      <c r="CU179" s="140" t="str">
        <f>IF(CT179=0,"",CT179*'Vergleich Holz Strom'!$B$2)</f>
        <v/>
      </c>
      <c r="CV179" s="353"/>
      <c r="CW179" s="366"/>
      <c r="CX179" s="345"/>
      <c r="CY179" s="345"/>
      <c r="CZ179" s="345"/>
      <c r="DA179" s="348"/>
      <c r="DB179" s="94"/>
      <c r="DC179" s="88">
        <f t="shared" si="453"/>
        <v>29413.344666666599</v>
      </c>
      <c r="DD179" s="94"/>
      <c r="DE179" s="88">
        <f t="shared" si="465"/>
        <v>-22847.112547000001</v>
      </c>
      <c r="DF179" s="100" t="e">
        <f ca="1">BE179+(SUM(CS170:CS181)/12)</f>
        <v>#N/A</v>
      </c>
      <c r="DG179" s="351"/>
      <c r="DH179" s="8">
        <f t="shared" si="454"/>
        <v>0</v>
      </c>
      <c r="DI179" s="123">
        <f t="shared" si="478"/>
        <v>18250</v>
      </c>
      <c r="DJ179" s="2">
        <f t="shared" si="455"/>
        <v>0</v>
      </c>
      <c r="DK179" s="127">
        <f>DK181/12*10</f>
        <v>6500</v>
      </c>
      <c r="DL179" s="2">
        <f t="shared" si="456"/>
        <v>650</v>
      </c>
      <c r="DM179" s="130">
        <f t="shared" si="457"/>
        <v>0</v>
      </c>
      <c r="DN179" s="3">
        <f>DN181/12*10</f>
        <v>2500</v>
      </c>
      <c r="DO179" s="130">
        <f t="shared" si="458"/>
        <v>250</v>
      </c>
      <c r="DP179" s="4">
        <f t="shared" si="459"/>
        <v>0</v>
      </c>
      <c r="DQ179" s="116">
        <f t="shared" si="460"/>
        <v>9250</v>
      </c>
      <c r="DR179" s="116">
        <f t="shared" si="466"/>
        <v>150</v>
      </c>
    </row>
    <row r="180" spans="1:122" ht="14.25" customHeight="1" thickBot="1" x14ac:dyDescent="0.2">
      <c r="A180" s="416"/>
      <c r="B180" s="16">
        <v>48792</v>
      </c>
      <c r="C180" s="207">
        <f>'PV-Felder'!$I$9</f>
        <v>3065.7</v>
      </c>
      <c r="D180" s="351"/>
      <c r="E180" s="61">
        <v>0</v>
      </c>
      <c r="F180" s="351"/>
      <c r="G180" s="56" t="e">
        <f t="shared" ca="1" si="339"/>
        <v>#N/A</v>
      </c>
      <c r="H180" s="351"/>
      <c r="I180" s="61">
        <v>0</v>
      </c>
      <c r="J180" s="351"/>
      <c r="K180" s="61">
        <v>0</v>
      </c>
      <c r="L180" s="351"/>
      <c r="M180" s="65">
        <f t="shared" si="358"/>
        <v>0</v>
      </c>
      <c r="N180" s="373"/>
      <c r="O180" s="288"/>
      <c r="P180" s="288"/>
      <c r="Q180" s="286">
        <f t="shared" si="340"/>
        <v>0</v>
      </c>
      <c r="R180" s="334"/>
      <c r="S180" s="61">
        <v>0</v>
      </c>
      <c r="T180" s="376"/>
      <c r="U180" s="61">
        <v>0</v>
      </c>
      <c r="V180" s="342"/>
      <c r="W180" s="61">
        <v>0</v>
      </c>
      <c r="X180" s="342"/>
      <c r="Y180" s="211" t="e">
        <f t="shared" si="444"/>
        <v>#N/A</v>
      </c>
      <c r="Z180" s="370"/>
      <c r="AA180" s="61">
        <v>0</v>
      </c>
      <c r="AB180" s="351"/>
      <c r="AC180" s="61">
        <v>0</v>
      </c>
      <c r="AD180" s="351"/>
      <c r="AE180" s="73" t="e">
        <f t="shared" si="472"/>
        <v>#N/A</v>
      </c>
      <c r="AF180" s="356"/>
      <c r="AG180" s="73" t="e">
        <f t="shared" si="473"/>
        <v>#N/A</v>
      </c>
      <c r="AH180" s="356"/>
      <c r="AI180" s="221">
        <f t="shared" si="461"/>
        <v>29.26</v>
      </c>
      <c r="AJ180" s="78">
        <f t="shared" ref="AJ180:AP180" si="480">AJ179</f>
        <v>0.26750000000000002</v>
      </c>
      <c r="AK180" s="79">
        <f t="shared" si="480"/>
        <v>9.9166666666666661</v>
      </c>
      <c r="AL180" s="80">
        <f t="shared" si="480"/>
        <v>187</v>
      </c>
      <c r="AM180" s="78">
        <f t="shared" si="480"/>
        <v>9.737942583732058E-2</v>
      </c>
      <c r="AN180" s="80">
        <f t="shared" si="480"/>
        <v>143</v>
      </c>
      <c r="AO180" s="78">
        <f t="shared" si="480"/>
        <v>0.21099999999999999</v>
      </c>
      <c r="AP180" s="88">
        <f t="shared" si="480"/>
        <v>12</v>
      </c>
      <c r="AQ180" s="64">
        <f t="shared" si="364"/>
        <v>21.5</v>
      </c>
      <c r="AR180" s="64">
        <f t="shared" si="365"/>
        <v>11.5</v>
      </c>
      <c r="AS180" s="88">
        <f t="shared" si="366"/>
        <v>1.1830000000000001</v>
      </c>
      <c r="AT180" s="91">
        <f t="shared" si="420"/>
        <v>283</v>
      </c>
      <c r="AU180" s="94"/>
      <c r="AV180" s="95"/>
      <c r="AW180" s="56">
        <f t="shared" si="342"/>
        <v>0</v>
      </c>
      <c r="AX180" s="351"/>
      <c r="AY180" s="100">
        <f t="shared" si="371"/>
        <v>9.9166666666666661</v>
      </c>
      <c r="AZ180" s="360"/>
      <c r="BA180" s="91">
        <f t="shared" si="452"/>
        <v>-1700.3625470000036</v>
      </c>
      <c r="BB180" s="5">
        <f t="shared" si="475"/>
        <v>-9.9166666666666661</v>
      </c>
      <c r="BC180" s="363"/>
      <c r="BD180" s="91" t="e">
        <f t="shared" ca="1" si="343"/>
        <v>#N/A</v>
      </c>
      <c r="BE180" s="91" t="e">
        <f t="shared" ca="1" si="344"/>
        <v>#N/A</v>
      </c>
      <c r="BF180" s="91">
        <f t="shared" si="345"/>
        <v>31.833333333333329</v>
      </c>
      <c r="BG180" s="91" t="e">
        <f t="shared" ca="1" si="346"/>
        <v>#N/A</v>
      </c>
      <c r="BH180" s="91" t="e">
        <f t="shared" ca="1" si="392"/>
        <v>#N/A</v>
      </c>
      <c r="BI180" s="10" t="e">
        <f t="shared" ca="1" si="360"/>
        <v>#N/A</v>
      </c>
      <c r="BJ180" s="104">
        <f>((M180+Q180)*AJ180+AK180)+((U180-W180+W180/('Vergleich Holz Strom'!$B$8-0.6))*AO180+AP180)</f>
        <v>21.916666666666664</v>
      </c>
      <c r="BK180" s="10" t="e">
        <f t="shared" ca="1" si="476"/>
        <v>#N/A</v>
      </c>
      <c r="BL180" s="379"/>
      <c r="BM180" s="104" t="e">
        <f t="shared" ca="1" si="356"/>
        <v>#N/A</v>
      </c>
      <c r="BN180" s="40" t="e">
        <f ca="1">IF(ISNUMBER(BK180),BN179+SUMIF(BK170:BK181,"&lt;&gt;#NV",BK170:BK181)/COUNTIF(BK170:BK181,"&lt;&gt;#NV"),#N/A)</f>
        <v>#N/A</v>
      </c>
      <c r="BO180" s="10" t="e">
        <f t="shared" ref="BO180:BO190" ca="1" si="481">BK180+AT180+AU180</f>
        <v>#N/A</v>
      </c>
      <c r="BP180" s="104" t="e">
        <f t="shared" ca="1" si="477"/>
        <v>#N/A</v>
      </c>
      <c r="BQ180" s="104">
        <f t="shared" ca="1" si="319"/>
        <v>-59936.898614672355</v>
      </c>
      <c r="BR180" s="10">
        <f t="shared" si="347"/>
        <v>9.9166666666666661</v>
      </c>
      <c r="BS180" s="311"/>
      <c r="BT180" s="307"/>
      <c r="BU180" s="295">
        <f t="shared" si="348"/>
        <v>0</v>
      </c>
      <c r="BV180" s="323"/>
      <c r="BW180" s="299">
        <f t="shared" si="349"/>
        <v>0</v>
      </c>
      <c r="BX180" s="295">
        <f t="shared" si="350"/>
        <v>0</v>
      </c>
      <c r="BY180" s="382"/>
      <c r="BZ180" s="299">
        <f t="shared" si="357"/>
        <v>0</v>
      </c>
      <c r="CA180" s="295">
        <f t="shared" si="362"/>
        <v>0</v>
      </c>
      <c r="CB180" s="323"/>
      <c r="CC180" s="314">
        <f t="shared" si="463"/>
        <v>0</v>
      </c>
      <c r="CD180" s="326"/>
      <c r="CE180" s="299">
        <f t="shared" si="351"/>
        <v>0</v>
      </c>
      <c r="CF180" s="284">
        <f t="shared" si="464"/>
        <v>0</v>
      </c>
      <c r="CG180" s="323"/>
      <c r="CH180" s="302">
        <f t="shared" si="389"/>
        <v>0</v>
      </c>
      <c r="CI180" s="108">
        <f t="shared" si="352"/>
        <v>0</v>
      </c>
      <c r="CJ180" s="200">
        <f t="shared" si="353"/>
        <v>0</v>
      </c>
      <c r="CK180" s="197">
        <f t="shared" si="369"/>
        <v>0</v>
      </c>
      <c r="CL180" s="203">
        <f t="shared" si="354"/>
        <v>12</v>
      </c>
      <c r="CM180" s="4">
        <f>U180*Jahresdaten!$AD$2</f>
        <v>0</v>
      </c>
      <c r="CN180" s="112">
        <f>CJ180*Jahresdaten!$AD$2</f>
        <v>0</v>
      </c>
      <c r="CO180" s="366"/>
      <c r="CP180" s="116">
        <f>U180*Jahresdaten!$AD$3</f>
        <v>0</v>
      </c>
      <c r="CQ180" s="12">
        <f>CJ180*Jahresdaten!$AD$3</f>
        <v>0</v>
      </c>
      <c r="CR180" s="353"/>
      <c r="CS180" s="14"/>
      <c r="CT180" s="136"/>
      <c r="CU180" s="140" t="str">
        <f>IF(CT180=0,"",CT180*'Vergleich Holz Strom'!$B$2)</f>
        <v/>
      </c>
      <c r="CV180" s="353"/>
      <c r="CW180" s="366"/>
      <c r="CX180" s="345"/>
      <c r="CY180" s="345"/>
      <c r="CZ180" s="345"/>
      <c r="DA180" s="348"/>
      <c r="DB180" s="94"/>
      <c r="DC180" s="88">
        <f t="shared" si="453"/>
        <v>29590.427999999931</v>
      </c>
      <c r="DD180" s="94"/>
      <c r="DE180" s="88">
        <f t="shared" si="465"/>
        <v>-22990.112547000001</v>
      </c>
      <c r="DF180" s="100" t="e">
        <f ca="1">BE180+(SUM(CS170:CS181)/12)</f>
        <v>#N/A</v>
      </c>
      <c r="DG180" s="351"/>
      <c r="DH180" s="8">
        <f t="shared" si="454"/>
        <v>0</v>
      </c>
      <c r="DI180" s="123">
        <f t="shared" si="478"/>
        <v>19300</v>
      </c>
      <c r="DJ180" s="2">
        <f t="shared" si="455"/>
        <v>0</v>
      </c>
      <c r="DK180" s="127">
        <f>DK181/12*11</f>
        <v>7150</v>
      </c>
      <c r="DL180" s="2">
        <f t="shared" si="456"/>
        <v>650</v>
      </c>
      <c r="DM180" s="130">
        <f t="shared" si="457"/>
        <v>0</v>
      </c>
      <c r="DN180" s="3">
        <f>DN181/12*11</f>
        <v>2750</v>
      </c>
      <c r="DO180" s="130">
        <f t="shared" si="458"/>
        <v>250</v>
      </c>
      <c r="DP180" s="4">
        <f t="shared" si="459"/>
        <v>0</v>
      </c>
      <c r="DQ180" s="116">
        <f t="shared" si="460"/>
        <v>9400</v>
      </c>
      <c r="DR180" s="116">
        <f t="shared" si="466"/>
        <v>150</v>
      </c>
    </row>
    <row r="181" spans="1:122" s="28" customFormat="1" ht="15" customHeight="1" thickBot="1" x14ac:dyDescent="0.2">
      <c r="A181" s="417"/>
      <c r="B181" s="18">
        <v>48823</v>
      </c>
      <c r="C181" s="208">
        <f>'PV-Felder'!$I$10</f>
        <v>2246.7000000000003</v>
      </c>
      <c r="D181" s="352"/>
      <c r="E181" s="63">
        <v>0</v>
      </c>
      <c r="F181" s="352"/>
      <c r="G181" s="57" t="e">
        <f t="shared" ca="1" si="339"/>
        <v>#N/A</v>
      </c>
      <c r="H181" s="352"/>
      <c r="I181" s="63">
        <v>0</v>
      </c>
      <c r="J181" s="352"/>
      <c r="K181" s="63">
        <v>0</v>
      </c>
      <c r="L181" s="352"/>
      <c r="M181" s="67">
        <f t="shared" si="358"/>
        <v>0</v>
      </c>
      <c r="N181" s="374"/>
      <c r="O181" s="290"/>
      <c r="P181" s="290"/>
      <c r="Q181" s="289">
        <f t="shared" si="340"/>
        <v>0</v>
      </c>
      <c r="R181" s="334"/>
      <c r="S181" s="63">
        <v>0</v>
      </c>
      <c r="T181" s="377"/>
      <c r="U181" s="63">
        <v>0</v>
      </c>
      <c r="V181" s="343"/>
      <c r="W181" s="63">
        <v>0</v>
      </c>
      <c r="X181" s="343"/>
      <c r="Y181" s="213" t="e">
        <f t="shared" si="444"/>
        <v>#N/A</v>
      </c>
      <c r="Z181" s="371"/>
      <c r="AA181" s="63">
        <v>0</v>
      </c>
      <c r="AB181" s="352"/>
      <c r="AC181" s="63">
        <v>0</v>
      </c>
      <c r="AD181" s="352"/>
      <c r="AE181" s="75" t="e">
        <f t="shared" si="472"/>
        <v>#N/A</v>
      </c>
      <c r="AF181" s="357"/>
      <c r="AG181" s="75" t="e">
        <f t="shared" si="473"/>
        <v>#N/A</v>
      </c>
      <c r="AH181" s="357"/>
      <c r="AI181" s="223">
        <f>AI180</f>
        <v>29.26</v>
      </c>
      <c r="AJ181" s="83">
        <f t="shared" ref="AJ181:AP181" si="482">AJ180</f>
        <v>0.26750000000000002</v>
      </c>
      <c r="AK181" s="21">
        <f t="shared" si="482"/>
        <v>9.9166666666666661</v>
      </c>
      <c r="AL181" s="84">
        <f t="shared" si="482"/>
        <v>187</v>
      </c>
      <c r="AM181" s="83">
        <f t="shared" si="482"/>
        <v>9.737942583732058E-2</v>
      </c>
      <c r="AN181" s="84">
        <f t="shared" si="482"/>
        <v>143</v>
      </c>
      <c r="AO181" s="83">
        <f t="shared" si="482"/>
        <v>0.21099999999999999</v>
      </c>
      <c r="AP181" s="90">
        <f t="shared" si="482"/>
        <v>12</v>
      </c>
      <c r="AQ181" s="125">
        <f t="shared" si="364"/>
        <v>21.5</v>
      </c>
      <c r="AR181" s="125">
        <f t="shared" si="365"/>
        <v>11.5</v>
      </c>
      <c r="AS181" s="92">
        <f t="shared" si="366"/>
        <v>1.1830000000000001</v>
      </c>
      <c r="AT181" s="92">
        <f t="shared" si="420"/>
        <v>283</v>
      </c>
      <c r="AU181" s="98"/>
      <c r="AV181" s="99"/>
      <c r="AW181" s="57">
        <f t="shared" si="342"/>
        <v>0</v>
      </c>
      <c r="AX181" s="352"/>
      <c r="AY181" s="102">
        <f t="shared" si="371"/>
        <v>9.9166666666666661</v>
      </c>
      <c r="AZ181" s="361"/>
      <c r="BA181" s="92">
        <f t="shared" si="452"/>
        <v>-1710.2792136666703</v>
      </c>
      <c r="BB181" s="22">
        <f t="shared" si="475"/>
        <v>-9.9166666666666661</v>
      </c>
      <c r="BC181" s="364"/>
      <c r="BD181" s="92" t="e">
        <f t="shared" ca="1" si="343"/>
        <v>#N/A</v>
      </c>
      <c r="BE181" s="92" t="e">
        <f t="shared" ca="1" si="344"/>
        <v>#N/A</v>
      </c>
      <c r="BF181" s="92">
        <f t="shared" si="345"/>
        <v>31.833333333333329</v>
      </c>
      <c r="BG181" s="92" t="e">
        <f t="shared" ca="1" si="346"/>
        <v>#N/A</v>
      </c>
      <c r="BH181" s="92" t="e">
        <f t="shared" ca="1" si="392"/>
        <v>#N/A</v>
      </c>
      <c r="BI181" s="24" t="e">
        <f t="shared" ca="1" si="360"/>
        <v>#N/A</v>
      </c>
      <c r="BJ181" s="106">
        <f>((M181+Q181)*AJ181+AK181)+((U181-W181+W181/('Vergleich Holz Strom'!$B$8-0.6))*AO181+AP181)</f>
        <v>21.916666666666664</v>
      </c>
      <c r="BK181" s="24" t="e">
        <f t="shared" ca="1" si="476"/>
        <v>#N/A</v>
      </c>
      <c r="BL181" s="380"/>
      <c r="BM181" s="106" t="e">
        <f t="shared" ca="1" si="356"/>
        <v>#N/A</v>
      </c>
      <c r="BN181" s="226" t="e">
        <f ca="1">IF(ISNUMBER(BK181),BN180+SUMIF(BK170:BK181,"&lt;&gt;#NV",BK170:BK181)/COUNTIF(BK170:BK181,"&lt;&gt;#NV"),#N/A)</f>
        <v>#N/A</v>
      </c>
      <c r="BO181" s="318" t="e">
        <f t="shared" ca="1" si="481"/>
        <v>#N/A</v>
      </c>
      <c r="BP181" s="106" t="e">
        <f t="shared" ca="1" si="477"/>
        <v>#N/A</v>
      </c>
      <c r="BQ181" s="106">
        <f t="shared" ca="1" si="319"/>
        <v>-59920.695718772346</v>
      </c>
      <c r="BR181" s="24">
        <f t="shared" si="347"/>
        <v>9.9166666666666661</v>
      </c>
      <c r="BS181" s="312"/>
      <c r="BT181" s="308"/>
      <c r="BU181" s="296">
        <f t="shared" si="348"/>
        <v>0</v>
      </c>
      <c r="BV181" s="324"/>
      <c r="BW181" s="292">
        <f t="shared" si="349"/>
        <v>0</v>
      </c>
      <c r="BX181" s="295">
        <f t="shared" si="350"/>
        <v>0</v>
      </c>
      <c r="BY181" s="382"/>
      <c r="BZ181" s="299">
        <f t="shared" si="357"/>
        <v>0</v>
      </c>
      <c r="CA181" s="296">
        <f t="shared" si="362"/>
        <v>0</v>
      </c>
      <c r="CB181" s="324"/>
      <c r="CC181" s="315">
        <f t="shared" si="463"/>
        <v>0</v>
      </c>
      <c r="CD181" s="327"/>
      <c r="CE181" s="292">
        <f t="shared" si="351"/>
        <v>0</v>
      </c>
      <c r="CF181" s="296">
        <f t="shared" si="464"/>
        <v>0</v>
      </c>
      <c r="CG181" s="324"/>
      <c r="CH181" s="303">
        <f t="shared" si="389"/>
        <v>0</v>
      </c>
      <c r="CI181" s="110">
        <f t="shared" si="352"/>
        <v>0</v>
      </c>
      <c r="CJ181" s="200">
        <f t="shared" si="353"/>
        <v>0</v>
      </c>
      <c r="CK181" s="25">
        <f t="shared" si="369"/>
        <v>0</v>
      </c>
      <c r="CL181" s="204">
        <f t="shared" si="354"/>
        <v>12</v>
      </c>
      <c r="CM181" s="26">
        <f>U181*Jahresdaten!$AD$2</f>
        <v>0</v>
      </c>
      <c r="CN181" s="114">
        <f>CJ181*Jahresdaten!$AD$2</f>
        <v>0</v>
      </c>
      <c r="CO181" s="346"/>
      <c r="CP181" s="118">
        <f>U181*Jahresdaten!$AD$3</f>
        <v>0</v>
      </c>
      <c r="CQ181" s="25">
        <f>CJ181*Jahresdaten!$AD$3</f>
        <v>0</v>
      </c>
      <c r="CR181" s="354"/>
      <c r="CS181" s="23"/>
      <c r="CT181" s="138"/>
      <c r="CU181" s="141" t="str">
        <f>IF(CT181=0,"",CT181*'Vergleich Holz Strom'!$B$2)</f>
        <v/>
      </c>
      <c r="CV181" s="354"/>
      <c r="CW181" s="346"/>
      <c r="CX181" s="346"/>
      <c r="CY181" s="346"/>
      <c r="CZ181" s="346"/>
      <c r="DA181" s="349"/>
      <c r="DB181" s="98"/>
      <c r="DC181" s="90">
        <f t="shared" si="453"/>
        <v>29767.511333333263</v>
      </c>
      <c r="DD181" s="98"/>
      <c r="DE181" s="90">
        <f t="shared" si="465"/>
        <v>-23133.112547000001</v>
      </c>
      <c r="DF181" s="102" t="e">
        <f ca="1">BE181+(SUM(CS170:CS181)/12)</f>
        <v>#N/A</v>
      </c>
      <c r="DG181" s="352"/>
      <c r="DH181" s="19">
        <f t="shared" si="454"/>
        <v>0</v>
      </c>
      <c r="DI181" s="125">
        <f t="shared" si="478"/>
        <v>20800</v>
      </c>
      <c r="DJ181" s="20">
        <f t="shared" si="455"/>
        <v>0</v>
      </c>
      <c r="DK181" s="129">
        <f>DK169</f>
        <v>7800</v>
      </c>
      <c r="DL181" s="20">
        <f t="shared" si="456"/>
        <v>650</v>
      </c>
      <c r="DM181" s="132">
        <f t="shared" si="457"/>
        <v>0</v>
      </c>
      <c r="DN181" s="27">
        <f>DN169</f>
        <v>3000</v>
      </c>
      <c r="DO181" s="132">
        <f t="shared" si="458"/>
        <v>250</v>
      </c>
      <c r="DP181" s="26">
        <f t="shared" si="459"/>
        <v>0</v>
      </c>
      <c r="DQ181" s="118">
        <f>DQ169</f>
        <v>10000</v>
      </c>
      <c r="DR181" s="118">
        <f>DR169</f>
        <v>600</v>
      </c>
    </row>
    <row r="182" spans="1:122" ht="15" customHeight="1" thickBot="1" x14ac:dyDescent="0.2">
      <c r="A182" s="415" t="s">
        <v>173</v>
      </c>
      <c r="B182" s="16">
        <v>48853</v>
      </c>
      <c r="C182" s="207">
        <f>'PV-Felder'!$I$11</f>
        <v>1416.7</v>
      </c>
      <c r="D182" s="358">
        <f>SUMIF(E182:E193,"&gt;0",C182:C193)</f>
        <v>0</v>
      </c>
      <c r="E182" s="61">
        <v>0</v>
      </c>
      <c r="F182" s="368">
        <f>SUM(E182:E193)</f>
        <v>0</v>
      </c>
      <c r="G182" s="58" t="e">
        <f t="shared" ca="1" si="339"/>
        <v>#N/A</v>
      </c>
      <c r="H182" s="358" t="e">
        <f ca="1">IF(TODAY()&lt;B182,#N/A,F182-D182)</f>
        <v>#N/A</v>
      </c>
      <c r="I182" s="61">
        <v>0</v>
      </c>
      <c r="J182" s="368">
        <f>SUM(I182:I193)</f>
        <v>0</v>
      </c>
      <c r="K182" s="61">
        <v>0</v>
      </c>
      <c r="L182" s="368">
        <f>SUM(K182:K193)</f>
        <v>0</v>
      </c>
      <c r="M182" s="66">
        <f t="shared" si="358"/>
        <v>0</v>
      </c>
      <c r="N182" s="372">
        <f>SUM(M182:M193)</f>
        <v>0</v>
      </c>
      <c r="Q182" s="287">
        <f t="shared" si="340"/>
        <v>0</v>
      </c>
      <c r="R182" s="333">
        <f>SUM(Q182:Q193)</f>
        <v>0</v>
      </c>
      <c r="S182" s="61">
        <v>0</v>
      </c>
      <c r="T182" s="375">
        <f>SUM(S182:S193)</f>
        <v>0</v>
      </c>
      <c r="U182" s="61">
        <v>0</v>
      </c>
      <c r="V182" s="341">
        <f>SUM(U182:U193)</f>
        <v>0</v>
      </c>
      <c r="W182" s="61">
        <v>0</v>
      </c>
      <c r="X182" s="341">
        <f>SUM(W182:W193)</f>
        <v>0</v>
      </c>
      <c r="Y182" s="211" t="e">
        <f t="shared" si="444"/>
        <v>#N/A</v>
      </c>
      <c r="Z182" s="369">
        <f>N182+T182+V182</f>
        <v>0</v>
      </c>
      <c r="AA182" s="62">
        <v>0</v>
      </c>
      <c r="AB182" s="368">
        <f>SUM(AA182:AA193)</f>
        <v>0</v>
      </c>
      <c r="AC182" s="62">
        <v>0</v>
      </c>
      <c r="AD182" s="368">
        <f>SUM(AC182:AC193)</f>
        <v>0</v>
      </c>
      <c r="AE182" s="74" t="e">
        <f t="shared" si="472"/>
        <v>#N/A</v>
      </c>
      <c r="AF182" s="355" t="e">
        <f>IF(SUMIF(AE182:AE193,"&gt;0")&gt;0,SUMIF(AE182:AE193,"&gt;0")/COUNTIF(AE182:AE193,"&gt;0"),#N/A)</f>
        <v>#N/A</v>
      </c>
      <c r="AG182" s="73" t="e">
        <f t="shared" si="473"/>
        <v>#N/A</v>
      </c>
      <c r="AH182" s="355" t="e">
        <f>IF(SUMIF(AG182:AG193,"&gt;0")&gt;0,SUMIF(AG182:AG193,"&gt;0")/COUNTIF(AG182:AG193,"&gt;0"),#N/A)</f>
        <v>#N/A</v>
      </c>
      <c r="AI182" s="222">
        <f>AI181</f>
        <v>29.26</v>
      </c>
      <c r="AJ182" s="78">
        <f t="shared" ref="AJ182:AP182" si="483">AJ181</f>
        <v>0.26750000000000002</v>
      </c>
      <c r="AK182" s="79">
        <f t="shared" si="483"/>
        <v>9.9166666666666661</v>
      </c>
      <c r="AL182" s="80">
        <f t="shared" si="483"/>
        <v>187</v>
      </c>
      <c r="AM182" s="78">
        <f t="shared" si="483"/>
        <v>9.737942583732058E-2</v>
      </c>
      <c r="AN182" s="80">
        <f t="shared" si="483"/>
        <v>143</v>
      </c>
      <c r="AO182" s="78">
        <f t="shared" si="483"/>
        <v>0.21099999999999999</v>
      </c>
      <c r="AP182" s="88">
        <f t="shared" si="483"/>
        <v>12</v>
      </c>
      <c r="AQ182" s="64">
        <f t="shared" si="364"/>
        <v>21.5</v>
      </c>
      <c r="AR182" s="64">
        <f t="shared" si="365"/>
        <v>11.5</v>
      </c>
      <c r="AS182" s="88">
        <f t="shared" si="366"/>
        <v>1.1830000000000001</v>
      </c>
      <c r="AT182" s="91">
        <f t="shared" si="420"/>
        <v>283</v>
      </c>
      <c r="AU182" s="94"/>
      <c r="AV182" s="95"/>
      <c r="AW182" s="56">
        <f t="shared" si="342"/>
        <v>0</v>
      </c>
      <c r="AX182" s="358">
        <f>SUM(AW182:AW193)</f>
        <v>0</v>
      </c>
      <c r="AY182" s="100">
        <f t="shared" si="371"/>
        <v>9.9166666666666661</v>
      </c>
      <c r="AZ182" s="359">
        <f>SUM(AY182:AY193)</f>
        <v>119.00000000000001</v>
      </c>
      <c r="BA182" s="103">
        <f>BA181-AY182</f>
        <v>-1720.1958803333371</v>
      </c>
      <c r="BB182" s="5">
        <f t="shared" si="475"/>
        <v>-9.9166666666666661</v>
      </c>
      <c r="BC182" s="362">
        <f>SUM(AY182:AY193)/12</f>
        <v>9.9166666666666679</v>
      </c>
      <c r="BD182" s="91" t="e">
        <f t="shared" ca="1" si="343"/>
        <v>#N/A</v>
      </c>
      <c r="BE182" s="91" t="e">
        <f t="shared" ca="1" si="344"/>
        <v>#N/A</v>
      </c>
      <c r="BF182" s="91">
        <f t="shared" si="345"/>
        <v>31.833333333333329</v>
      </c>
      <c r="BG182" s="91" t="e">
        <f t="shared" ca="1" si="346"/>
        <v>#N/A</v>
      </c>
      <c r="BH182" s="91" t="e">
        <f t="shared" ca="1" si="392"/>
        <v>#N/A</v>
      </c>
      <c r="BI182" s="10" t="e">
        <f t="shared" ca="1" si="360"/>
        <v>#N/A</v>
      </c>
      <c r="BJ182" s="104">
        <f>((M182+Q182)*AJ182+AK182)+((U182-W182+W182/('Vergleich Holz Strom'!$B$8-0.6))*AO182+AP182)</f>
        <v>21.916666666666664</v>
      </c>
      <c r="BK182" s="10" t="e">
        <f t="shared" ca="1" si="476"/>
        <v>#N/A</v>
      </c>
      <c r="BL182" s="378">
        <f ca="1">SUMIF(BK182:BK193,"&lt;&gt;#NV",BK182:BK193)</f>
        <v>0</v>
      </c>
      <c r="BM182" s="104" t="e">
        <f t="shared" ca="1" si="356"/>
        <v>#N/A</v>
      </c>
      <c r="BN182" s="40" t="e">
        <f ca="1">IF(ISNUMBER(BK182),BN181+SUMIF(BK182:BK193,"&lt;&gt;#NV",BK182:BK193)/COUNTIF(BK182:BK193,"&lt;&gt;#NV"),#N/A)</f>
        <v>#N/A</v>
      </c>
      <c r="BO182" s="10" t="e">
        <f t="shared" ca="1" si="481"/>
        <v>#N/A</v>
      </c>
      <c r="BP182" s="105" t="e">
        <f t="shared" ca="1" si="477"/>
        <v>#N/A</v>
      </c>
      <c r="BQ182" s="104">
        <f t="shared" ca="1" si="319"/>
        <v>-59908.695718772346</v>
      </c>
      <c r="BR182" s="10">
        <f t="shared" si="347"/>
        <v>9.9166666666666661</v>
      </c>
      <c r="BS182" s="311"/>
      <c r="BT182" s="307"/>
      <c r="BU182" s="295">
        <f t="shared" si="348"/>
        <v>0</v>
      </c>
      <c r="BV182" s="322">
        <f>SUM(BU182:BU193)</f>
        <v>0</v>
      </c>
      <c r="BW182" s="300">
        <f t="shared" si="349"/>
        <v>0</v>
      </c>
      <c r="BX182" s="305">
        <f t="shared" si="350"/>
        <v>0</v>
      </c>
      <c r="BY182" s="381">
        <f>SUM(BX182:BX193)</f>
        <v>0</v>
      </c>
      <c r="BZ182" s="300">
        <f t="shared" si="357"/>
        <v>0</v>
      </c>
      <c r="CA182" s="295">
        <f t="shared" si="362"/>
        <v>0</v>
      </c>
      <c r="CB182" s="322">
        <f>SUM(CA182:CA193)</f>
        <v>0</v>
      </c>
      <c r="CC182" s="314">
        <f t="shared" si="463"/>
        <v>0</v>
      </c>
      <c r="CD182" s="325">
        <f>SUM(CC182:CC193)</f>
        <v>0</v>
      </c>
      <c r="CE182" s="299">
        <f t="shared" si="351"/>
        <v>0</v>
      </c>
      <c r="CF182" s="284">
        <f t="shared" si="464"/>
        <v>0</v>
      </c>
      <c r="CG182" s="328">
        <f>SUM(CF182:CF193)</f>
        <v>0</v>
      </c>
      <c r="CH182" s="302">
        <f t="shared" si="389"/>
        <v>0</v>
      </c>
      <c r="CI182" s="108">
        <f t="shared" si="352"/>
        <v>0</v>
      </c>
      <c r="CJ182" s="201">
        <f t="shared" si="353"/>
        <v>0</v>
      </c>
      <c r="CK182" s="197">
        <f t="shared" si="369"/>
        <v>0</v>
      </c>
      <c r="CL182" s="203">
        <f t="shared" si="354"/>
        <v>12</v>
      </c>
      <c r="CM182" s="4">
        <f>U182*Jahresdaten!$AD$2</f>
        <v>0</v>
      </c>
      <c r="CN182" s="112">
        <f>CJ182*Jahresdaten!$AD$2</f>
        <v>0</v>
      </c>
      <c r="CO182" s="365">
        <f>CW182*Jahresdaten!$AD$2</f>
        <v>856.59076092206669</v>
      </c>
      <c r="CP182" s="116">
        <f>U182*Jahresdaten!$AD$3</f>
        <v>0</v>
      </c>
      <c r="CQ182" s="12">
        <f>CJ182*Jahresdaten!$AD$3</f>
        <v>0</v>
      </c>
      <c r="CR182" s="367">
        <f>CW182*Jahresdaten!$AD$3</f>
        <v>312.40923907793319</v>
      </c>
      <c r="CS182" s="14">
        <f>CS170</f>
        <v>1169</v>
      </c>
      <c r="CT182" s="136">
        <f>CT170</f>
        <v>12</v>
      </c>
      <c r="CU182" s="140">
        <f>IF(CT182=0,"",CT182*'Vergleich Holz Strom'!$B$2)</f>
        <v>25800</v>
      </c>
      <c r="CV182" s="120" t="s">
        <v>7</v>
      </c>
      <c r="CW182" s="365">
        <f>CV183+CV189</f>
        <v>1169</v>
      </c>
      <c r="CX182" s="344">
        <f>SUM(CS182:CS193)/SUM(CU182:CU193)*(SUM(CU182:CU193)+(V182*('Vergleich Holz Strom'!$B$8-0.6)/'Vergleich Holz Strom'!$E$6))</f>
        <v>1169</v>
      </c>
      <c r="CY182" s="344">
        <f>SUM(CU182:CU193)*'Vergleich Holz Strom'!$E$6/('Vergleich Holz Strom'!$B$8-0.6)*(SUM(AJ182:AJ193)/12)+CV183</f>
        <v>1420.8970588235295</v>
      </c>
      <c r="CZ182" s="344">
        <f>SUM(CU182:CU193)*'Vergleich Holz Strom'!$E$6/('Vergleich Holz Strom'!$B$8-0.6)*SUM(AM182:AM193)/12+SUM(CK182:CK193)</f>
        <v>517.25659724176774</v>
      </c>
      <c r="DA182" s="347">
        <f>SUM(CU182:CU193)*'Vergleich Holz Strom'!$E$6/('Vergleich Holz Strom'!$B$8-0.6)*(SUM(AO182:AO193)/12)+SUM(CL182:CL193)</f>
        <v>1264.7823529411764</v>
      </c>
      <c r="DB182" s="94"/>
      <c r="DC182" s="88">
        <f t="shared" si="453"/>
        <v>29944.594666666595</v>
      </c>
      <c r="DD182" s="94"/>
      <c r="DE182" s="88">
        <f t="shared" si="465"/>
        <v>-23276.112547000001</v>
      </c>
      <c r="DF182" s="100" t="e">
        <f ca="1">BE182+(SUM(CS182:CS193)/12)</f>
        <v>#N/A</v>
      </c>
      <c r="DG182" s="350">
        <f ca="1">SUMIF(DF182:DF193,"&gt;0")</f>
        <v>0</v>
      </c>
      <c r="DH182" s="8">
        <f>M182+S182+U182</f>
        <v>0</v>
      </c>
      <c r="DI182" s="123">
        <f t="shared" si="478"/>
        <v>1850</v>
      </c>
      <c r="DJ182" s="2">
        <f>M182</f>
        <v>0</v>
      </c>
      <c r="DK182" s="127">
        <f>DK193/12*1</f>
        <v>650</v>
      </c>
      <c r="DL182" s="2">
        <f>DL181</f>
        <v>650</v>
      </c>
      <c r="DM182" s="130">
        <f>S182</f>
        <v>0</v>
      </c>
      <c r="DN182" s="3">
        <f>DN193/12*1</f>
        <v>250</v>
      </c>
      <c r="DO182" s="130">
        <f>DO181</f>
        <v>250</v>
      </c>
      <c r="DP182" s="4">
        <f>U182</f>
        <v>0</v>
      </c>
      <c r="DQ182" s="116">
        <f>DR182</f>
        <v>950</v>
      </c>
      <c r="DR182" s="116">
        <f>DR170</f>
        <v>950</v>
      </c>
    </row>
    <row r="183" spans="1:122" ht="14.25" customHeight="1" thickBot="1" x14ac:dyDescent="0.2">
      <c r="A183" s="416"/>
      <c r="B183" s="16">
        <v>48884</v>
      </c>
      <c r="C183" s="207">
        <f>'PV-Felder'!$I$12</f>
        <v>739.6</v>
      </c>
      <c r="D183" s="351"/>
      <c r="E183" s="61">
        <v>0</v>
      </c>
      <c r="F183" s="351"/>
      <c r="G183" s="56" t="e">
        <f t="shared" ca="1" si="339"/>
        <v>#N/A</v>
      </c>
      <c r="H183" s="351"/>
      <c r="I183" s="61">
        <v>0</v>
      </c>
      <c r="J183" s="351"/>
      <c r="K183" s="61">
        <v>0</v>
      </c>
      <c r="L183" s="351"/>
      <c r="M183" s="65">
        <f t="shared" si="358"/>
        <v>0</v>
      </c>
      <c r="N183" s="373"/>
      <c r="O183" s="288"/>
      <c r="P183" s="288"/>
      <c r="Q183" s="286">
        <f t="shared" si="340"/>
        <v>0</v>
      </c>
      <c r="R183" s="334"/>
      <c r="S183" s="61">
        <v>0</v>
      </c>
      <c r="T183" s="376"/>
      <c r="U183" s="61">
        <v>0</v>
      </c>
      <c r="V183" s="342"/>
      <c r="W183" s="61">
        <v>0</v>
      </c>
      <c r="X183" s="342"/>
      <c r="Y183" s="211" t="e">
        <f t="shared" si="444"/>
        <v>#N/A</v>
      </c>
      <c r="Z183" s="370"/>
      <c r="AA183" s="61">
        <v>0</v>
      </c>
      <c r="AB183" s="351"/>
      <c r="AC183" s="61">
        <v>0</v>
      </c>
      <c r="AD183" s="351"/>
      <c r="AE183" s="73" t="e">
        <f t="shared" si="472"/>
        <v>#N/A</v>
      </c>
      <c r="AF183" s="356"/>
      <c r="AG183" s="73" t="e">
        <f t="shared" si="473"/>
        <v>#N/A</v>
      </c>
      <c r="AH183" s="356"/>
      <c r="AI183" s="221">
        <f>AI182</f>
        <v>29.26</v>
      </c>
      <c r="AJ183" s="78">
        <f t="shared" ref="AJ183:AN183" si="484">AJ182</f>
        <v>0.26750000000000002</v>
      </c>
      <c r="AK183" s="79">
        <f t="shared" si="484"/>
        <v>9.9166666666666661</v>
      </c>
      <c r="AL183" s="80">
        <f t="shared" si="484"/>
        <v>187</v>
      </c>
      <c r="AM183" s="78">
        <f t="shared" si="484"/>
        <v>9.737942583732058E-2</v>
      </c>
      <c r="AN183" s="80">
        <f t="shared" si="484"/>
        <v>143</v>
      </c>
      <c r="AO183" s="78">
        <f>AO182</f>
        <v>0.21099999999999999</v>
      </c>
      <c r="AP183" s="88">
        <f>AP182</f>
        <v>12</v>
      </c>
      <c r="AQ183" s="64">
        <f t="shared" si="364"/>
        <v>21.5</v>
      </c>
      <c r="AR183" s="64">
        <f t="shared" si="365"/>
        <v>11.5</v>
      </c>
      <c r="AS183" s="88">
        <f t="shared" si="366"/>
        <v>1.1830000000000001</v>
      </c>
      <c r="AT183" s="91">
        <f t="shared" si="420"/>
        <v>283</v>
      </c>
      <c r="AU183" s="94"/>
      <c r="AV183" s="95"/>
      <c r="AW183" s="56">
        <f t="shared" si="342"/>
        <v>0</v>
      </c>
      <c r="AX183" s="351"/>
      <c r="AY183" s="100">
        <f t="shared" si="371"/>
        <v>9.9166666666666661</v>
      </c>
      <c r="AZ183" s="360"/>
      <c r="BA183" s="91">
        <f t="shared" ref="BA183:BA193" si="485">BA182-AY183</f>
        <v>-1730.1125470000038</v>
      </c>
      <c r="BB183" s="5">
        <f t="shared" si="475"/>
        <v>-9.9166666666666661</v>
      </c>
      <c r="BC183" s="363"/>
      <c r="BD183" s="91" t="e">
        <f t="shared" ca="1" si="343"/>
        <v>#N/A</v>
      </c>
      <c r="BE183" s="91" t="e">
        <f t="shared" ca="1" si="344"/>
        <v>#N/A</v>
      </c>
      <c r="BF183" s="91">
        <f t="shared" si="345"/>
        <v>31.833333333333329</v>
      </c>
      <c r="BG183" s="91" t="e">
        <f t="shared" ca="1" si="346"/>
        <v>#N/A</v>
      </c>
      <c r="BH183" s="91" t="e">
        <f t="shared" ca="1" si="392"/>
        <v>#N/A</v>
      </c>
      <c r="BI183" s="10" t="e">
        <f t="shared" ca="1" si="360"/>
        <v>#N/A</v>
      </c>
      <c r="BJ183" s="104">
        <f>((M183+Q183)*AJ183+AK183)+((U183-W183+W183/('Vergleich Holz Strom'!$B$8-0.6))*AO183+AP183)</f>
        <v>21.916666666666664</v>
      </c>
      <c r="BK183" s="10" t="e">
        <f t="shared" ca="1" si="476"/>
        <v>#N/A</v>
      </c>
      <c r="BL183" s="379"/>
      <c r="BM183" s="104" t="e">
        <f t="shared" ca="1" si="356"/>
        <v>#N/A</v>
      </c>
      <c r="BN183" s="40" t="e">
        <f ca="1">IF(ISNUMBER(BK183),BN182+SUMIF(BK182:BK193,"&lt;&gt;#NV",BK182:BK193)/COUNTIF(BK182:BK193,"&lt;&gt;#NV"),#N/A)</f>
        <v>#N/A</v>
      </c>
      <c r="BO183" s="10" t="e">
        <f t="shared" ca="1" si="481"/>
        <v>#N/A</v>
      </c>
      <c r="BP183" s="104" t="e">
        <f t="shared" ca="1" si="477"/>
        <v>#N/A</v>
      </c>
      <c r="BQ183" s="104">
        <f t="shared" ca="1" si="319"/>
        <v>-59896.695718772346</v>
      </c>
      <c r="BR183" s="10">
        <f t="shared" si="347"/>
        <v>9.9166666666666661</v>
      </c>
      <c r="BS183" s="311"/>
      <c r="BT183" s="307"/>
      <c r="BU183" s="295">
        <f t="shared" si="348"/>
        <v>0</v>
      </c>
      <c r="BV183" s="323"/>
      <c r="BW183" s="299">
        <f t="shared" si="349"/>
        <v>0</v>
      </c>
      <c r="BX183" s="295">
        <f t="shared" si="350"/>
        <v>0</v>
      </c>
      <c r="BY183" s="382"/>
      <c r="BZ183" s="299">
        <f t="shared" si="357"/>
        <v>0</v>
      </c>
      <c r="CA183" s="295">
        <f t="shared" si="362"/>
        <v>0</v>
      </c>
      <c r="CB183" s="323"/>
      <c r="CC183" s="314">
        <f>Q183/AQ183*100+BS183/AQ183*100</f>
        <v>0</v>
      </c>
      <c r="CD183" s="326"/>
      <c r="CE183" s="299">
        <f t="shared" si="351"/>
        <v>0</v>
      </c>
      <c r="CF183" s="284">
        <f>CE183-CA183</f>
        <v>0</v>
      </c>
      <c r="CG183" s="323"/>
      <c r="CH183" s="302">
        <f t="shared" si="389"/>
        <v>0</v>
      </c>
      <c r="CI183" s="108">
        <f t="shared" si="352"/>
        <v>0</v>
      </c>
      <c r="CJ183" s="200">
        <f t="shared" si="353"/>
        <v>0</v>
      </c>
      <c r="CK183" s="197">
        <f t="shared" si="369"/>
        <v>0</v>
      </c>
      <c r="CL183" s="203">
        <f t="shared" si="354"/>
        <v>12</v>
      </c>
      <c r="CM183" s="4">
        <f>U183*Jahresdaten!$AD$2</f>
        <v>0</v>
      </c>
      <c r="CN183" s="112">
        <f>CJ183*Jahresdaten!$AD$2</f>
        <v>0</v>
      </c>
      <c r="CO183" s="366"/>
      <c r="CP183" s="116">
        <f>U183*Jahresdaten!$AD$3</f>
        <v>0</v>
      </c>
      <c r="CQ183" s="12">
        <f>CJ183*Jahresdaten!$AD$3</f>
        <v>0</v>
      </c>
      <c r="CR183" s="353"/>
      <c r="CS183" s="14"/>
      <c r="CT183" s="136"/>
      <c r="CU183" s="140" t="str">
        <f>IF(CT183=0,"",CT183*'Vergleich Holz Strom'!$B$2)</f>
        <v/>
      </c>
      <c r="CV183" s="353">
        <f>SUM(CJ182:CJ193)</f>
        <v>0</v>
      </c>
      <c r="CW183" s="366"/>
      <c r="CX183" s="345"/>
      <c r="CY183" s="345"/>
      <c r="CZ183" s="345"/>
      <c r="DA183" s="348"/>
      <c r="DB183" s="94"/>
      <c r="DC183" s="88">
        <f t="shared" si="453"/>
        <v>30121.677999999927</v>
      </c>
      <c r="DD183" s="94"/>
      <c r="DE183" s="88">
        <f t="shared" si="465"/>
        <v>-23419.112547000001</v>
      </c>
      <c r="DF183" s="100" t="e">
        <f ca="1">BE183+(SUM(CS182:CS193)/12)</f>
        <v>#N/A</v>
      </c>
      <c r="DG183" s="351"/>
      <c r="DH183" s="8">
        <f t="shared" ref="DH183:DH193" si="486">DH182+M183+S183+U183</f>
        <v>0</v>
      </c>
      <c r="DI183" s="123">
        <f t="shared" si="478"/>
        <v>3550</v>
      </c>
      <c r="DJ183" s="2">
        <f t="shared" ref="DJ183:DJ193" si="487">DJ182+M183</f>
        <v>0</v>
      </c>
      <c r="DK183" s="127">
        <f>DK193/12*2</f>
        <v>1300</v>
      </c>
      <c r="DL183" s="2">
        <f t="shared" ref="DL183:DL193" si="488">DL182</f>
        <v>650</v>
      </c>
      <c r="DM183" s="130">
        <f t="shared" ref="DM183:DM193" si="489">DM182+S183</f>
        <v>0</v>
      </c>
      <c r="DN183" s="3">
        <f>DN193/12*2</f>
        <v>500</v>
      </c>
      <c r="DO183" s="130">
        <f t="shared" ref="DO183:DO193" si="490">DO182</f>
        <v>250</v>
      </c>
      <c r="DP183" s="4">
        <f t="shared" ref="DP183:DP193" si="491">DP182+U183</f>
        <v>0</v>
      </c>
      <c r="DQ183" s="116">
        <f t="shared" ref="DQ183:DQ192" si="492">DQ182+DR183</f>
        <v>1750</v>
      </c>
      <c r="DR183" s="116">
        <f>DR171</f>
        <v>800</v>
      </c>
    </row>
    <row r="184" spans="1:122" ht="14.25" customHeight="1" thickBot="1" x14ac:dyDescent="0.2">
      <c r="A184" s="416"/>
      <c r="B184" s="16">
        <v>48914</v>
      </c>
      <c r="C184" s="207">
        <f>'PV-Felder'!$I$13</f>
        <v>559.9</v>
      </c>
      <c r="D184" s="351"/>
      <c r="E184" s="61">
        <v>0</v>
      </c>
      <c r="F184" s="351"/>
      <c r="G184" s="56" t="e">
        <f t="shared" ca="1" si="339"/>
        <v>#N/A</v>
      </c>
      <c r="H184" s="351"/>
      <c r="I184" s="61">
        <v>0</v>
      </c>
      <c r="J184" s="351"/>
      <c r="K184" s="61">
        <v>0</v>
      </c>
      <c r="L184" s="351"/>
      <c r="M184" s="65">
        <f t="shared" si="358"/>
        <v>0</v>
      </c>
      <c r="N184" s="373"/>
      <c r="O184" s="288"/>
      <c r="P184" s="288"/>
      <c r="Q184" s="286">
        <f t="shared" si="340"/>
        <v>0</v>
      </c>
      <c r="R184" s="334"/>
      <c r="S184" s="61">
        <v>0</v>
      </c>
      <c r="T184" s="376"/>
      <c r="U184" s="61">
        <v>0</v>
      </c>
      <c r="V184" s="342"/>
      <c r="W184" s="61">
        <v>0</v>
      </c>
      <c r="X184" s="342"/>
      <c r="Y184" s="211" t="e">
        <f t="shared" si="444"/>
        <v>#N/A</v>
      </c>
      <c r="Z184" s="370"/>
      <c r="AA184" s="61">
        <v>0</v>
      </c>
      <c r="AB184" s="351"/>
      <c r="AC184" s="61">
        <v>0</v>
      </c>
      <c r="AD184" s="351"/>
      <c r="AE184" s="73" t="e">
        <f t="shared" si="472"/>
        <v>#N/A</v>
      </c>
      <c r="AF184" s="356"/>
      <c r="AG184" s="73" t="e">
        <f t="shared" si="473"/>
        <v>#N/A</v>
      </c>
      <c r="AH184" s="356"/>
      <c r="AI184" s="221">
        <f t="shared" ref="AI184:AI192" si="493">AI183</f>
        <v>29.26</v>
      </c>
      <c r="AJ184" s="78">
        <f t="shared" ref="AJ184:AN184" si="494">AJ183</f>
        <v>0.26750000000000002</v>
      </c>
      <c r="AK184" s="79">
        <f t="shared" si="494"/>
        <v>9.9166666666666661</v>
      </c>
      <c r="AL184" s="80">
        <f t="shared" si="494"/>
        <v>187</v>
      </c>
      <c r="AM184" s="78">
        <f t="shared" si="494"/>
        <v>9.737942583732058E-2</v>
      </c>
      <c r="AN184" s="80">
        <f t="shared" si="494"/>
        <v>143</v>
      </c>
      <c r="AO184" s="78">
        <f>AO183</f>
        <v>0.21099999999999999</v>
      </c>
      <c r="AP184" s="88">
        <f>AP183</f>
        <v>12</v>
      </c>
      <c r="AQ184" s="64">
        <f t="shared" si="364"/>
        <v>21.5</v>
      </c>
      <c r="AR184" s="64">
        <f t="shared" si="365"/>
        <v>11.5</v>
      </c>
      <c r="AS184" s="88">
        <f t="shared" si="366"/>
        <v>1.1830000000000001</v>
      </c>
      <c r="AT184" s="91">
        <f t="shared" si="420"/>
        <v>283</v>
      </c>
      <c r="AU184" s="94"/>
      <c r="AV184" s="95"/>
      <c r="AW184" s="56">
        <f t="shared" si="342"/>
        <v>0</v>
      </c>
      <c r="AX184" s="351"/>
      <c r="AY184" s="100">
        <f t="shared" si="371"/>
        <v>9.9166666666666661</v>
      </c>
      <c r="AZ184" s="360"/>
      <c r="BA184" s="91">
        <f t="shared" si="485"/>
        <v>-1740.0292136666706</v>
      </c>
      <c r="BB184" s="5">
        <f t="shared" si="475"/>
        <v>-9.9166666666666661</v>
      </c>
      <c r="BC184" s="363"/>
      <c r="BD184" s="91" t="e">
        <f t="shared" ca="1" si="343"/>
        <v>#N/A</v>
      </c>
      <c r="BE184" s="91" t="e">
        <f t="shared" ca="1" si="344"/>
        <v>#N/A</v>
      </c>
      <c r="BF184" s="91">
        <f t="shared" si="345"/>
        <v>31.833333333333329</v>
      </c>
      <c r="BG184" s="91" t="e">
        <f t="shared" ca="1" si="346"/>
        <v>#N/A</v>
      </c>
      <c r="BH184" s="91" t="e">
        <f t="shared" ca="1" si="392"/>
        <v>#N/A</v>
      </c>
      <c r="BI184" s="10" t="e">
        <f t="shared" ca="1" si="360"/>
        <v>#N/A</v>
      </c>
      <c r="BJ184" s="104">
        <f>((M184+Q184)*AJ184+AK184)+((U184-W184+W184/('Vergleich Holz Strom'!$B$8-0.6))*AO184+AP184)</f>
        <v>21.916666666666664</v>
      </c>
      <c r="BK184" s="10" t="e">
        <f t="shared" ca="1" si="476"/>
        <v>#N/A</v>
      </c>
      <c r="BL184" s="379"/>
      <c r="BM184" s="104" t="e">
        <f t="shared" ca="1" si="356"/>
        <v>#N/A</v>
      </c>
      <c r="BN184" s="40" t="e">
        <f ca="1">IF(ISNUMBER(BK184),BN183+SUMIF(BK182:BK193,"&lt;&gt;#NV",BK182:BK193)/COUNTIF(BK182:BK193,"&lt;&gt;#NV"),#N/A)</f>
        <v>#N/A</v>
      </c>
      <c r="BO184" s="10" t="e">
        <f t="shared" ca="1" si="481"/>
        <v>#N/A</v>
      </c>
      <c r="BP184" s="104" t="e">
        <f t="shared" ca="1" si="477"/>
        <v>#N/A</v>
      </c>
      <c r="BQ184" s="104">
        <f t="shared" ca="1" si="319"/>
        <v>-59884.695718772346</v>
      </c>
      <c r="BR184" s="10">
        <f t="shared" si="347"/>
        <v>9.9166666666666661</v>
      </c>
      <c r="BS184" s="311"/>
      <c r="BT184" s="307"/>
      <c r="BU184" s="295">
        <f t="shared" si="348"/>
        <v>0</v>
      </c>
      <c r="BV184" s="323"/>
      <c r="BW184" s="299">
        <f t="shared" si="349"/>
        <v>0</v>
      </c>
      <c r="BX184" s="295">
        <f t="shared" si="350"/>
        <v>0</v>
      </c>
      <c r="BY184" s="382"/>
      <c r="BZ184" s="299">
        <f t="shared" si="357"/>
        <v>0</v>
      </c>
      <c r="CA184" s="295">
        <f t="shared" si="362"/>
        <v>0</v>
      </c>
      <c r="CB184" s="323"/>
      <c r="CC184" s="314">
        <f t="shared" ref="CC184:CC194" si="495">Q184/AQ184*100+BS184/AQ184*100</f>
        <v>0</v>
      </c>
      <c r="CD184" s="326"/>
      <c r="CE184" s="299">
        <f t="shared" si="351"/>
        <v>0</v>
      </c>
      <c r="CF184" s="284">
        <f t="shared" ref="CF184:CF194" si="496">CE184-CA184</f>
        <v>0</v>
      </c>
      <c r="CG184" s="323"/>
      <c r="CH184" s="302">
        <f t="shared" si="389"/>
        <v>0</v>
      </c>
      <c r="CI184" s="108">
        <f t="shared" si="352"/>
        <v>0</v>
      </c>
      <c r="CJ184" s="200">
        <f t="shared" si="353"/>
        <v>0</v>
      </c>
      <c r="CK184" s="197">
        <f t="shared" si="369"/>
        <v>0</v>
      </c>
      <c r="CL184" s="203">
        <f t="shared" si="354"/>
        <v>12</v>
      </c>
      <c r="CM184" s="4">
        <f>U184*Jahresdaten!$AD$2</f>
        <v>0</v>
      </c>
      <c r="CN184" s="112">
        <f>CJ184*Jahresdaten!$AD$2</f>
        <v>0</v>
      </c>
      <c r="CO184" s="366"/>
      <c r="CP184" s="116">
        <f>U184*Jahresdaten!$AD$3</f>
        <v>0</v>
      </c>
      <c r="CQ184" s="12">
        <f>CJ184*Jahresdaten!$AD$3</f>
        <v>0</v>
      </c>
      <c r="CR184" s="353"/>
      <c r="CS184" s="14"/>
      <c r="CT184" s="136"/>
      <c r="CU184" s="140" t="str">
        <f>IF(CT184=0,"",CT184*'Vergleich Holz Strom'!$B$2)</f>
        <v/>
      </c>
      <c r="CV184" s="353"/>
      <c r="CW184" s="366"/>
      <c r="CX184" s="345"/>
      <c r="CY184" s="345"/>
      <c r="CZ184" s="345"/>
      <c r="DA184" s="348"/>
      <c r="DB184" s="94"/>
      <c r="DC184" s="88">
        <f t="shared" si="453"/>
        <v>30298.761333333259</v>
      </c>
      <c r="DD184" s="94"/>
      <c r="DE184" s="88">
        <f t="shared" si="465"/>
        <v>-23562.112547000001</v>
      </c>
      <c r="DF184" s="100" t="e">
        <f ca="1">BE184+(SUM(CS182:CS193)/12)</f>
        <v>#N/A</v>
      </c>
      <c r="DG184" s="351"/>
      <c r="DH184" s="8">
        <f t="shared" si="486"/>
        <v>0</v>
      </c>
      <c r="DI184" s="123">
        <f t="shared" si="478"/>
        <v>5300</v>
      </c>
      <c r="DJ184" s="2">
        <f t="shared" si="487"/>
        <v>0</v>
      </c>
      <c r="DK184" s="127">
        <f>DK193/12*3</f>
        <v>1950</v>
      </c>
      <c r="DL184" s="2">
        <f t="shared" si="488"/>
        <v>650</v>
      </c>
      <c r="DM184" s="130">
        <f t="shared" si="489"/>
        <v>0</v>
      </c>
      <c r="DN184" s="3">
        <f>DN193/12*3</f>
        <v>750</v>
      </c>
      <c r="DO184" s="130">
        <f t="shared" si="490"/>
        <v>250</v>
      </c>
      <c r="DP184" s="4">
        <f t="shared" si="491"/>
        <v>0</v>
      </c>
      <c r="DQ184" s="116">
        <f t="shared" si="492"/>
        <v>2600</v>
      </c>
      <c r="DR184" s="116">
        <f t="shared" ref="DR184:DR192" si="497">DR172</f>
        <v>850.00000000000011</v>
      </c>
    </row>
    <row r="185" spans="1:122" ht="14.25" customHeight="1" thickBot="1" x14ac:dyDescent="0.2">
      <c r="A185" s="416"/>
      <c r="B185" s="16">
        <v>48945</v>
      </c>
      <c r="C185" s="207">
        <f>'PV-Felder'!$I$2</f>
        <v>660.80000000000007</v>
      </c>
      <c r="D185" s="351"/>
      <c r="E185" s="61">
        <v>0</v>
      </c>
      <c r="F185" s="351"/>
      <c r="G185" s="56" t="e">
        <f t="shared" ca="1" si="339"/>
        <v>#N/A</v>
      </c>
      <c r="H185" s="351"/>
      <c r="I185" s="61">
        <v>0</v>
      </c>
      <c r="J185" s="351"/>
      <c r="K185" s="61">
        <v>0</v>
      </c>
      <c r="L185" s="351"/>
      <c r="M185" s="65">
        <f t="shared" si="358"/>
        <v>0</v>
      </c>
      <c r="N185" s="373"/>
      <c r="O185" s="288"/>
      <c r="P185" s="288"/>
      <c r="Q185" s="286">
        <f t="shared" si="340"/>
        <v>0</v>
      </c>
      <c r="R185" s="334"/>
      <c r="S185" s="61">
        <v>0</v>
      </c>
      <c r="T185" s="376"/>
      <c r="U185" s="61">
        <v>0</v>
      </c>
      <c r="V185" s="342"/>
      <c r="W185" s="61">
        <v>0</v>
      </c>
      <c r="X185" s="342"/>
      <c r="Y185" s="211" t="e">
        <f t="shared" si="444"/>
        <v>#N/A</v>
      </c>
      <c r="Z185" s="370"/>
      <c r="AA185" s="61">
        <v>0</v>
      </c>
      <c r="AB185" s="351"/>
      <c r="AC185" s="61">
        <v>0</v>
      </c>
      <c r="AD185" s="351"/>
      <c r="AE185" s="73" t="e">
        <f t="shared" si="472"/>
        <v>#N/A</v>
      </c>
      <c r="AF185" s="356"/>
      <c r="AG185" s="73" t="e">
        <f t="shared" si="473"/>
        <v>#N/A</v>
      </c>
      <c r="AH185" s="356"/>
      <c r="AI185" s="221">
        <f t="shared" si="493"/>
        <v>29.26</v>
      </c>
      <c r="AJ185" s="78">
        <f t="shared" ref="AJ185:AP185" si="498">AJ184</f>
        <v>0.26750000000000002</v>
      </c>
      <c r="AK185" s="79">
        <f t="shared" si="498"/>
        <v>9.9166666666666661</v>
      </c>
      <c r="AL185" s="80">
        <f t="shared" si="498"/>
        <v>187</v>
      </c>
      <c r="AM185" s="78">
        <f t="shared" si="498"/>
        <v>9.737942583732058E-2</v>
      </c>
      <c r="AN185" s="80">
        <f t="shared" si="498"/>
        <v>143</v>
      </c>
      <c r="AO185" s="78">
        <f t="shared" si="498"/>
        <v>0.21099999999999999</v>
      </c>
      <c r="AP185" s="88">
        <f t="shared" si="498"/>
        <v>12</v>
      </c>
      <c r="AQ185" s="64">
        <f t="shared" si="364"/>
        <v>21.5</v>
      </c>
      <c r="AR185" s="64">
        <f t="shared" si="365"/>
        <v>11.5</v>
      </c>
      <c r="AS185" s="88">
        <f t="shared" si="366"/>
        <v>1.1830000000000001</v>
      </c>
      <c r="AT185" s="91">
        <f t="shared" si="420"/>
        <v>283</v>
      </c>
      <c r="AU185" s="94"/>
      <c r="AV185" s="95"/>
      <c r="AW185" s="56">
        <f t="shared" si="342"/>
        <v>0</v>
      </c>
      <c r="AX185" s="351"/>
      <c r="AY185" s="100">
        <f t="shared" si="371"/>
        <v>9.9166666666666661</v>
      </c>
      <c r="AZ185" s="360"/>
      <c r="BA185" s="91">
        <f t="shared" si="485"/>
        <v>-1749.9458803333373</v>
      </c>
      <c r="BB185" s="5">
        <f t="shared" si="475"/>
        <v>-9.9166666666666661</v>
      </c>
      <c r="BC185" s="363"/>
      <c r="BD185" s="91" t="e">
        <f t="shared" ca="1" si="343"/>
        <v>#N/A</v>
      </c>
      <c r="BE185" s="91" t="e">
        <f t="shared" ca="1" si="344"/>
        <v>#N/A</v>
      </c>
      <c r="BF185" s="91">
        <f t="shared" si="345"/>
        <v>31.833333333333329</v>
      </c>
      <c r="BG185" s="91" t="e">
        <f t="shared" ca="1" si="346"/>
        <v>#N/A</v>
      </c>
      <c r="BH185" s="91" t="e">
        <f t="shared" ca="1" si="392"/>
        <v>#N/A</v>
      </c>
      <c r="BI185" s="10" t="e">
        <f t="shared" ca="1" si="360"/>
        <v>#N/A</v>
      </c>
      <c r="BJ185" s="104">
        <f>((M185+Q185)*AJ185+AK185)+((U185-W185+W185/('Vergleich Holz Strom'!$B$8-0.6))*AO185+AP185)</f>
        <v>21.916666666666664</v>
      </c>
      <c r="BK185" s="10" t="e">
        <f t="shared" ca="1" si="476"/>
        <v>#N/A</v>
      </c>
      <c r="BL185" s="379"/>
      <c r="BM185" s="104" t="e">
        <f t="shared" ca="1" si="356"/>
        <v>#N/A</v>
      </c>
      <c r="BN185" s="40" t="e">
        <f ca="1">IF(ISNUMBER(BK185),BN184+SUMIF(BK182:BK193,"&lt;&gt;#NV",BK182:BK193)/COUNTIF(BK182:BK193,"&lt;&gt;#NV"),#N/A)</f>
        <v>#N/A</v>
      </c>
      <c r="BO185" s="10" t="e">
        <f t="shared" ca="1" si="481"/>
        <v>#N/A</v>
      </c>
      <c r="BP185" s="104" t="e">
        <f t="shared" ca="1" si="477"/>
        <v>#N/A</v>
      </c>
      <c r="BQ185" s="104">
        <f t="shared" ca="1" si="319"/>
        <v>-59872.695718772346</v>
      </c>
      <c r="BR185" s="10">
        <f t="shared" si="347"/>
        <v>9.9166666666666661</v>
      </c>
      <c r="BS185" s="311"/>
      <c r="BT185" s="307"/>
      <c r="BU185" s="295">
        <f t="shared" si="348"/>
        <v>0</v>
      </c>
      <c r="BV185" s="323"/>
      <c r="BW185" s="299">
        <f t="shared" si="349"/>
        <v>0</v>
      </c>
      <c r="BX185" s="295">
        <f t="shared" si="350"/>
        <v>0</v>
      </c>
      <c r="BY185" s="382"/>
      <c r="BZ185" s="299">
        <f t="shared" si="357"/>
        <v>0</v>
      </c>
      <c r="CA185" s="295">
        <f t="shared" si="362"/>
        <v>0</v>
      </c>
      <c r="CB185" s="323"/>
      <c r="CC185" s="314">
        <f t="shared" si="495"/>
        <v>0</v>
      </c>
      <c r="CD185" s="326"/>
      <c r="CE185" s="299">
        <f t="shared" si="351"/>
        <v>0</v>
      </c>
      <c r="CF185" s="284">
        <f t="shared" si="496"/>
        <v>0</v>
      </c>
      <c r="CG185" s="323"/>
      <c r="CH185" s="302">
        <f t="shared" si="389"/>
        <v>0</v>
      </c>
      <c r="CI185" s="108">
        <f t="shared" si="352"/>
        <v>0</v>
      </c>
      <c r="CJ185" s="200">
        <f t="shared" si="353"/>
        <v>0</v>
      </c>
      <c r="CK185" s="197">
        <f t="shared" si="369"/>
        <v>0</v>
      </c>
      <c r="CL185" s="203">
        <f t="shared" si="354"/>
        <v>12</v>
      </c>
      <c r="CM185" s="4">
        <f>U185*Jahresdaten!$AD$2</f>
        <v>0</v>
      </c>
      <c r="CN185" s="112">
        <f>CJ185*Jahresdaten!$AD$2</f>
        <v>0</v>
      </c>
      <c r="CO185" s="366"/>
      <c r="CP185" s="116">
        <f>U185*Jahresdaten!$AD$3</f>
        <v>0</v>
      </c>
      <c r="CQ185" s="12">
        <f>CJ185*Jahresdaten!$AD$3</f>
        <v>0</v>
      </c>
      <c r="CR185" s="353"/>
      <c r="CS185" s="14"/>
      <c r="CT185" s="136"/>
      <c r="CU185" s="140" t="str">
        <f>IF(CT185=0,"",CT185*'Vergleich Holz Strom'!$B$2)</f>
        <v/>
      </c>
      <c r="CV185" s="353"/>
      <c r="CW185" s="366"/>
      <c r="CX185" s="345"/>
      <c r="CY185" s="345"/>
      <c r="CZ185" s="345"/>
      <c r="DA185" s="348"/>
      <c r="DB185" s="94"/>
      <c r="DC185" s="88">
        <f t="shared" si="453"/>
        <v>30475.844666666591</v>
      </c>
      <c r="DD185" s="94"/>
      <c r="DE185" s="88">
        <f t="shared" si="465"/>
        <v>-23705.112547000001</v>
      </c>
      <c r="DF185" s="100" t="e">
        <f ca="1">BE185+(SUM(CS182:CS193)/12)</f>
        <v>#N/A</v>
      </c>
      <c r="DG185" s="351"/>
      <c r="DH185" s="8">
        <f t="shared" si="486"/>
        <v>0</v>
      </c>
      <c r="DI185" s="123">
        <f t="shared" si="478"/>
        <v>7350</v>
      </c>
      <c r="DJ185" s="2">
        <f t="shared" si="487"/>
        <v>0</v>
      </c>
      <c r="DK185" s="127">
        <f>DK193/12*4</f>
        <v>2600</v>
      </c>
      <c r="DL185" s="2">
        <f t="shared" si="488"/>
        <v>650</v>
      </c>
      <c r="DM185" s="130">
        <f t="shared" si="489"/>
        <v>0</v>
      </c>
      <c r="DN185" s="3">
        <f>DN193/12*4</f>
        <v>1000</v>
      </c>
      <c r="DO185" s="130">
        <f t="shared" si="490"/>
        <v>250</v>
      </c>
      <c r="DP185" s="4">
        <f t="shared" si="491"/>
        <v>0</v>
      </c>
      <c r="DQ185" s="116">
        <f t="shared" si="492"/>
        <v>3750</v>
      </c>
      <c r="DR185" s="116">
        <f t="shared" si="497"/>
        <v>1150</v>
      </c>
    </row>
    <row r="186" spans="1:122" ht="14.25" customHeight="1" thickBot="1" x14ac:dyDescent="0.2">
      <c r="A186" s="416"/>
      <c r="B186" s="16">
        <v>48976</v>
      </c>
      <c r="C186" s="207">
        <f>'PV-Felder'!$I$3</f>
        <v>922.2</v>
      </c>
      <c r="D186" s="351"/>
      <c r="E186" s="61">
        <v>0</v>
      </c>
      <c r="F186" s="351"/>
      <c r="G186" s="56" t="e">
        <f t="shared" ca="1" si="339"/>
        <v>#N/A</v>
      </c>
      <c r="H186" s="351"/>
      <c r="I186" s="61">
        <v>0</v>
      </c>
      <c r="J186" s="351"/>
      <c r="K186" s="61">
        <v>0</v>
      </c>
      <c r="L186" s="351"/>
      <c r="M186" s="65">
        <f t="shared" si="358"/>
        <v>0</v>
      </c>
      <c r="N186" s="373"/>
      <c r="O186" s="288"/>
      <c r="P186" s="288"/>
      <c r="Q186" s="286">
        <f t="shared" si="340"/>
        <v>0</v>
      </c>
      <c r="R186" s="334"/>
      <c r="S186" s="61">
        <v>0</v>
      </c>
      <c r="T186" s="376"/>
      <c r="U186" s="61">
        <v>0</v>
      </c>
      <c r="V186" s="342"/>
      <c r="W186" s="61">
        <v>0</v>
      </c>
      <c r="X186" s="342"/>
      <c r="Y186" s="211" t="e">
        <f t="shared" si="444"/>
        <v>#N/A</v>
      </c>
      <c r="Z186" s="370"/>
      <c r="AA186" s="61">
        <v>0</v>
      </c>
      <c r="AB186" s="351"/>
      <c r="AC186" s="61">
        <v>0</v>
      </c>
      <c r="AD186" s="351"/>
      <c r="AE186" s="73" t="e">
        <f t="shared" si="472"/>
        <v>#N/A</v>
      </c>
      <c r="AF186" s="356"/>
      <c r="AG186" s="73" t="e">
        <f t="shared" si="473"/>
        <v>#N/A</v>
      </c>
      <c r="AH186" s="356"/>
      <c r="AI186" s="221">
        <f t="shared" si="493"/>
        <v>29.26</v>
      </c>
      <c r="AJ186" s="78">
        <f t="shared" ref="AJ186:AP186" si="499">AJ185</f>
        <v>0.26750000000000002</v>
      </c>
      <c r="AK186" s="79">
        <f t="shared" si="499"/>
        <v>9.9166666666666661</v>
      </c>
      <c r="AL186" s="80">
        <f t="shared" si="499"/>
        <v>187</v>
      </c>
      <c r="AM186" s="78">
        <f t="shared" si="499"/>
        <v>9.737942583732058E-2</v>
      </c>
      <c r="AN186" s="80">
        <f t="shared" si="499"/>
        <v>143</v>
      </c>
      <c r="AO186" s="78">
        <f t="shared" si="499"/>
        <v>0.21099999999999999</v>
      </c>
      <c r="AP186" s="88">
        <f t="shared" si="499"/>
        <v>12</v>
      </c>
      <c r="AQ186" s="64">
        <f t="shared" si="364"/>
        <v>21.5</v>
      </c>
      <c r="AR186" s="64">
        <f t="shared" si="365"/>
        <v>11.5</v>
      </c>
      <c r="AS186" s="88">
        <f t="shared" si="366"/>
        <v>1.1830000000000001</v>
      </c>
      <c r="AT186" s="91">
        <f t="shared" si="420"/>
        <v>283</v>
      </c>
      <c r="AU186" s="94"/>
      <c r="AV186" s="95"/>
      <c r="AW186" s="56">
        <f t="shared" si="342"/>
        <v>0</v>
      </c>
      <c r="AX186" s="351"/>
      <c r="AY186" s="100">
        <f t="shared" si="371"/>
        <v>9.9166666666666661</v>
      </c>
      <c r="AZ186" s="360"/>
      <c r="BA186" s="91">
        <f t="shared" si="485"/>
        <v>-1759.862547000004</v>
      </c>
      <c r="BB186" s="5">
        <f t="shared" si="475"/>
        <v>-9.9166666666666661</v>
      </c>
      <c r="BC186" s="363"/>
      <c r="BD186" s="91" t="e">
        <f t="shared" ca="1" si="343"/>
        <v>#N/A</v>
      </c>
      <c r="BE186" s="91" t="e">
        <f t="shared" ca="1" si="344"/>
        <v>#N/A</v>
      </c>
      <c r="BF186" s="91">
        <f t="shared" si="345"/>
        <v>31.833333333333329</v>
      </c>
      <c r="BG186" s="91" t="e">
        <f t="shared" ca="1" si="346"/>
        <v>#N/A</v>
      </c>
      <c r="BH186" s="91" t="e">
        <f t="shared" ca="1" si="392"/>
        <v>#N/A</v>
      </c>
      <c r="BI186" s="10" t="e">
        <f t="shared" ca="1" si="360"/>
        <v>#N/A</v>
      </c>
      <c r="BJ186" s="104">
        <f>((M186+Q186)*AJ186+AK186)+((U186-W186+W186/('Vergleich Holz Strom'!$B$8-0.6))*AO186+AP186)</f>
        <v>21.916666666666664</v>
      </c>
      <c r="BK186" s="10" t="e">
        <f t="shared" ca="1" si="476"/>
        <v>#N/A</v>
      </c>
      <c r="BL186" s="379"/>
      <c r="BM186" s="104" t="e">
        <f t="shared" ca="1" si="356"/>
        <v>#N/A</v>
      </c>
      <c r="BN186" s="40" t="e">
        <f ca="1">IF(ISNUMBER(BK186),BN185+SUMIF(BK182:BK193,"&lt;&gt;#NV",BK182:BK193)/COUNTIF(BK182:BK193,"&lt;&gt;#NV"),#N/A)</f>
        <v>#N/A</v>
      </c>
      <c r="BO186" s="10" t="e">
        <f t="shared" ca="1" si="481"/>
        <v>#N/A</v>
      </c>
      <c r="BP186" s="104" t="e">
        <f t="shared" ca="1" si="477"/>
        <v>#N/A</v>
      </c>
      <c r="BQ186" s="104">
        <f t="shared" ref="BQ186:BQ249" ca="1" si="500">IF(B187&lt;=TODAY(),BP186,IF(E186=0,BQ185+((BQ150-BQ149+BQ162-BQ161+BQ174-BQ173)/3),BP186))</f>
        <v>-59853.495718772348</v>
      </c>
      <c r="BR186" s="10">
        <f t="shared" si="347"/>
        <v>9.9166666666666661</v>
      </c>
      <c r="BS186" s="311"/>
      <c r="BT186" s="307"/>
      <c r="BU186" s="295">
        <f t="shared" si="348"/>
        <v>0</v>
      </c>
      <c r="BV186" s="323"/>
      <c r="BW186" s="299">
        <f t="shared" si="349"/>
        <v>0</v>
      </c>
      <c r="BX186" s="295">
        <f t="shared" si="350"/>
        <v>0</v>
      </c>
      <c r="BY186" s="382"/>
      <c r="BZ186" s="299">
        <f t="shared" si="357"/>
        <v>0</v>
      </c>
      <c r="CA186" s="295">
        <f t="shared" si="362"/>
        <v>0</v>
      </c>
      <c r="CB186" s="323"/>
      <c r="CC186" s="314">
        <f t="shared" si="495"/>
        <v>0</v>
      </c>
      <c r="CD186" s="326"/>
      <c r="CE186" s="299">
        <f t="shared" si="351"/>
        <v>0</v>
      </c>
      <c r="CF186" s="284">
        <f t="shared" si="496"/>
        <v>0</v>
      </c>
      <c r="CG186" s="323"/>
      <c r="CH186" s="302">
        <f t="shared" si="389"/>
        <v>0</v>
      </c>
      <c r="CI186" s="108">
        <f t="shared" si="352"/>
        <v>0</v>
      </c>
      <c r="CJ186" s="200">
        <f t="shared" si="353"/>
        <v>0</v>
      </c>
      <c r="CK186" s="197">
        <f t="shared" si="369"/>
        <v>0</v>
      </c>
      <c r="CL186" s="203">
        <f t="shared" si="354"/>
        <v>12</v>
      </c>
      <c r="CM186" s="4">
        <f>U186*Jahresdaten!$AD$2</f>
        <v>0</v>
      </c>
      <c r="CN186" s="112">
        <f>CJ186*Jahresdaten!$AD$2</f>
        <v>0</v>
      </c>
      <c r="CO186" s="366"/>
      <c r="CP186" s="116">
        <f>U186*Jahresdaten!$AD$3</f>
        <v>0</v>
      </c>
      <c r="CQ186" s="12">
        <f>CJ186*Jahresdaten!$AD$3</f>
        <v>0</v>
      </c>
      <c r="CR186" s="353"/>
      <c r="CS186" s="14"/>
      <c r="CT186" s="136"/>
      <c r="CU186" s="140" t="str">
        <f>IF(CT186=0,"",CT186*'Vergleich Holz Strom'!$B$2)</f>
        <v/>
      </c>
      <c r="CV186" s="353"/>
      <c r="CW186" s="366"/>
      <c r="CX186" s="345"/>
      <c r="CY186" s="345"/>
      <c r="CZ186" s="345"/>
      <c r="DA186" s="348"/>
      <c r="DB186" s="94"/>
      <c r="DC186" s="88">
        <f t="shared" si="453"/>
        <v>30652.927999999923</v>
      </c>
      <c r="DD186" s="94"/>
      <c r="DE186" s="88">
        <f t="shared" si="465"/>
        <v>-23848.112547000001</v>
      </c>
      <c r="DF186" s="100" t="e">
        <f ca="1">BE186+(SUM(CS182:CS193)/12)</f>
        <v>#N/A</v>
      </c>
      <c r="DG186" s="351"/>
      <c r="DH186" s="8">
        <f t="shared" si="486"/>
        <v>0</v>
      </c>
      <c r="DI186" s="123">
        <f t="shared" si="478"/>
        <v>9600</v>
      </c>
      <c r="DJ186" s="2">
        <f t="shared" si="487"/>
        <v>0</v>
      </c>
      <c r="DK186" s="127">
        <f>DK193/12*5</f>
        <v>3250</v>
      </c>
      <c r="DL186" s="2">
        <f t="shared" si="488"/>
        <v>650</v>
      </c>
      <c r="DM186" s="130">
        <f t="shared" si="489"/>
        <v>0</v>
      </c>
      <c r="DN186" s="3">
        <f>DN193/12*5</f>
        <v>1250</v>
      </c>
      <c r="DO186" s="130">
        <f t="shared" si="490"/>
        <v>250</v>
      </c>
      <c r="DP186" s="4">
        <f t="shared" si="491"/>
        <v>0</v>
      </c>
      <c r="DQ186" s="116">
        <f t="shared" si="492"/>
        <v>5100</v>
      </c>
      <c r="DR186" s="116">
        <f t="shared" si="497"/>
        <v>1350</v>
      </c>
    </row>
    <row r="187" spans="1:122" ht="14.25" customHeight="1" thickBot="1" x14ac:dyDescent="0.2">
      <c r="A187" s="416"/>
      <c r="B187" s="16">
        <v>49004</v>
      </c>
      <c r="C187" s="207">
        <f>'PV-Felder'!$I$4</f>
        <v>1860</v>
      </c>
      <c r="D187" s="351"/>
      <c r="E187" s="61">
        <v>0</v>
      </c>
      <c r="F187" s="351"/>
      <c r="G187" s="56" t="e">
        <f t="shared" ca="1" si="339"/>
        <v>#N/A</v>
      </c>
      <c r="H187" s="351"/>
      <c r="I187" s="61">
        <v>0</v>
      </c>
      <c r="J187" s="351"/>
      <c r="K187" s="61">
        <v>0</v>
      </c>
      <c r="L187" s="351"/>
      <c r="M187" s="65">
        <f t="shared" si="358"/>
        <v>0</v>
      </c>
      <c r="N187" s="373"/>
      <c r="O187" s="288"/>
      <c r="P187" s="288"/>
      <c r="Q187" s="286">
        <f t="shared" si="340"/>
        <v>0</v>
      </c>
      <c r="R187" s="334"/>
      <c r="S187" s="61">
        <v>0</v>
      </c>
      <c r="T187" s="376"/>
      <c r="U187" s="61">
        <v>0</v>
      </c>
      <c r="V187" s="342"/>
      <c r="W187" s="61">
        <v>0</v>
      </c>
      <c r="X187" s="342"/>
      <c r="Y187" s="211" t="e">
        <f t="shared" si="444"/>
        <v>#N/A</v>
      </c>
      <c r="Z187" s="370"/>
      <c r="AA187" s="61">
        <v>0</v>
      </c>
      <c r="AB187" s="351"/>
      <c r="AC187" s="61">
        <v>0</v>
      </c>
      <c r="AD187" s="351"/>
      <c r="AE187" s="73" t="e">
        <f t="shared" si="472"/>
        <v>#N/A</v>
      </c>
      <c r="AF187" s="356"/>
      <c r="AG187" s="73" t="e">
        <f t="shared" si="473"/>
        <v>#N/A</v>
      </c>
      <c r="AH187" s="356"/>
      <c r="AI187" s="221">
        <f t="shared" si="493"/>
        <v>29.26</v>
      </c>
      <c r="AJ187" s="78">
        <f t="shared" ref="AJ187:AP187" si="501">AJ186</f>
        <v>0.26750000000000002</v>
      </c>
      <c r="AK187" s="79">
        <f t="shared" si="501"/>
        <v>9.9166666666666661</v>
      </c>
      <c r="AL187" s="80">
        <f t="shared" si="501"/>
        <v>187</v>
      </c>
      <c r="AM187" s="78">
        <f t="shared" si="501"/>
        <v>9.737942583732058E-2</v>
      </c>
      <c r="AN187" s="80">
        <f t="shared" si="501"/>
        <v>143</v>
      </c>
      <c r="AO187" s="78">
        <f t="shared" si="501"/>
        <v>0.21099999999999999</v>
      </c>
      <c r="AP187" s="88">
        <f t="shared" si="501"/>
        <v>12</v>
      </c>
      <c r="AQ187" s="64">
        <f t="shared" si="364"/>
        <v>21.5</v>
      </c>
      <c r="AR187" s="64">
        <f t="shared" si="365"/>
        <v>11.5</v>
      </c>
      <c r="AS187" s="88">
        <f t="shared" si="366"/>
        <v>1.1830000000000001</v>
      </c>
      <c r="AT187" s="91">
        <f t="shared" si="420"/>
        <v>283</v>
      </c>
      <c r="AU187" s="94"/>
      <c r="AV187" s="95"/>
      <c r="AW187" s="56">
        <f t="shared" si="342"/>
        <v>0</v>
      </c>
      <c r="AX187" s="351"/>
      <c r="AY187" s="100">
        <f t="shared" si="371"/>
        <v>9.9166666666666661</v>
      </c>
      <c r="AZ187" s="360"/>
      <c r="BA187" s="91">
        <f t="shared" si="485"/>
        <v>-1769.7792136666708</v>
      </c>
      <c r="BB187" s="5">
        <f t="shared" si="475"/>
        <v>-9.9166666666666661</v>
      </c>
      <c r="BC187" s="363"/>
      <c r="BD187" s="91" t="e">
        <f t="shared" ca="1" si="343"/>
        <v>#N/A</v>
      </c>
      <c r="BE187" s="91" t="e">
        <f t="shared" ca="1" si="344"/>
        <v>#N/A</v>
      </c>
      <c r="BF187" s="91">
        <f t="shared" si="345"/>
        <v>31.833333333333329</v>
      </c>
      <c r="BG187" s="91" t="e">
        <f t="shared" ca="1" si="346"/>
        <v>#N/A</v>
      </c>
      <c r="BH187" s="91" t="e">
        <f t="shared" ca="1" si="392"/>
        <v>#N/A</v>
      </c>
      <c r="BI187" s="10" t="e">
        <f t="shared" ca="1" si="360"/>
        <v>#N/A</v>
      </c>
      <c r="BJ187" s="104">
        <f>((M187+Q187)*AJ187+AK187)+((U187-W187+W187/('Vergleich Holz Strom'!$B$8-0.6))*AO187+AP187)</f>
        <v>21.916666666666664</v>
      </c>
      <c r="BK187" s="10" t="e">
        <f t="shared" ca="1" si="476"/>
        <v>#N/A</v>
      </c>
      <c r="BL187" s="379"/>
      <c r="BM187" s="104" t="e">
        <f t="shared" ca="1" si="356"/>
        <v>#N/A</v>
      </c>
      <c r="BN187" s="40" t="e">
        <f ca="1">IF(ISNUMBER(BK187),BN186+SUMIF(BK182:BK193,"&lt;&gt;#NV",BK182:BK193)/COUNTIF(BK182:BK193,"&lt;&gt;#NV"),#N/A)</f>
        <v>#N/A</v>
      </c>
      <c r="BO187" s="10" t="e">
        <f t="shared" ca="1" si="481"/>
        <v>#N/A</v>
      </c>
      <c r="BP187" s="104" t="e">
        <f t="shared" ca="1" si="477"/>
        <v>#N/A</v>
      </c>
      <c r="BQ187" s="104">
        <f t="shared" ca="1" si="500"/>
        <v>-59834.295718772351</v>
      </c>
      <c r="BR187" s="10">
        <f t="shared" si="347"/>
        <v>9.9166666666666661</v>
      </c>
      <c r="BS187" s="311"/>
      <c r="BT187" s="307"/>
      <c r="BU187" s="295">
        <f t="shared" si="348"/>
        <v>0</v>
      </c>
      <c r="BV187" s="323"/>
      <c r="BW187" s="299">
        <f t="shared" si="349"/>
        <v>0</v>
      </c>
      <c r="BX187" s="295">
        <f t="shared" si="350"/>
        <v>0</v>
      </c>
      <c r="BY187" s="382"/>
      <c r="BZ187" s="299">
        <f t="shared" si="357"/>
        <v>0</v>
      </c>
      <c r="CA187" s="295">
        <f t="shared" si="362"/>
        <v>0</v>
      </c>
      <c r="CB187" s="323"/>
      <c r="CC187" s="314">
        <f t="shared" si="495"/>
        <v>0</v>
      </c>
      <c r="CD187" s="326"/>
      <c r="CE187" s="299">
        <f t="shared" si="351"/>
        <v>0</v>
      </c>
      <c r="CF187" s="284">
        <f t="shared" si="496"/>
        <v>0</v>
      </c>
      <c r="CG187" s="323"/>
      <c r="CH187" s="302">
        <f t="shared" si="389"/>
        <v>0</v>
      </c>
      <c r="CI187" s="108">
        <f t="shared" si="352"/>
        <v>0</v>
      </c>
      <c r="CJ187" s="200">
        <f t="shared" si="353"/>
        <v>0</v>
      </c>
      <c r="CK187" s="197">
        <f t="shared" si="369"/>
        <v>0</v>
      </c>
      <c r="CL187" s="203">
        <f t="shared" si="354"/>
        <v>12</v>
      </c>
      <c r="CM187" s="4">
        <f>U187*Jahresdaten!$AD$2</f>
        <v>0</v>
      </c>
      <c r="CN187" s="112">
        <f>CJ187*Jahresdaten!$AD$2</f>
        <v>0</v>
      </c>
      <c r="CO187" s="366"/>
      <c r="CP187" s="116">
        <f>U187*Jahresdaten!$AD$3</f>
        <v>0</v>
      </c>
      <c r="CQ187" s="12">
        <f>CJ187*Jahresdaten!$AD$3</f>
        <v>0</v>
      </c>
      <c r="CR187" s="353"/>
      <c r="CS187" s="14"/>
      <c r="CT187" s="136"/>
      <c r="CU187" s="140" t="str">
        <f>IF(CT187=0,"",CT187*'Vergleich Holz Strom'!$B$2)</f>
        <v/>
      </c>
      <c r="CV187" s="353"/>
      <c r="CW187" s="366"/>
      <c r="CX187" s="345"/>
      <c r="CY187" s="345"/>
      <c r="CZ187" s="345"/>
      <c r="DA187" s="348"/>
      <c r="DB187" s="94"/>
      <c r="DC187" s="88">
        <f t="shared" si="453"/>
        <v>30830.011333333256</v>
      </c>
      <c r="DD187" s="94"/>
      <c r="DE187" s="88">
        <f t="shared" si="465"/>
        <v>-23991.112547000001</v>
      </c>
      <c r="DF187" s="100" t="e">
        <f ca="1">BE187+(SUM(CS182:CS193)/12)</f>
        <v>#N/A</v>
      </c>
      <c r="DG187" s="351"/>
      <c r="DH187" s="8">
        <f t="shared" si="486"/>
        <v>0</v>
      </c>
      <c r="DI187" s="123">
        <f t="shared" si="478"/>
        <v>11850</v>
      </c>
      <c r="DJ187" s="2">
        <f t="shared" si="487"/>
        <v>0</v>
      </c>
      <c r="DK187" s="127">
        <f>DK193/12*6</f>
        <v>3900</v>
      </c>
      <c r="DL187" s="2">
        <f t="shared" si="488"/>
        <v>650</v>
      </c>
      <c r="DM187" s="130">
        <f t="shared" si="489"/>
        <v>0</v>
      </c>
      <c r="DN187" s="3">
        <f>DN193/12*6</f>
        <v>1500</v>
      </c>
      <c r="DO187" s="130">
        <f t="shared" si="490"/>
        <v>250</v>
      </c>
      <c r="DP187" s="4">
        <f t="shared" si="491"/>
        <v>0</v>
      </c>
      <c r="DQ187" s="116">
        <f t="shared" si="492"/>
        <v>6450</v>
      </c>
      <c r="DR187" s="116">
        <f t="shared" si="497"/>
        <v>1350</v>
      </c>
    </row>
    <row r="188" spans="1:122" ht="15" customHeight="1" thickBot="1" x14ac:dyDescent="0.2">
      <c r="A188" s="416"/>
      <c r="B188" s="16">
        <v>49035</v>
      </c>
      <c r="C188" s="207">
        <f>'PV-Felder'!$I$5</f>
        <v>2887.3</v>
      </c>
      <c r="D188" s="351"/>
      <c r="E188" s="61">
        <v>0</v>
      </c>
      <c r="F188" s="351"/>
      <c r="G188" s="56" t="e">
        <f t="shared" ca="1" si="339"/>
        <v>#N/A</v>
      </c>
      <c r="H188" s="351"/>
      <c r="I188" s="61">
        <v>0</v>
      </c>
      <c r="J188" s="351"/>
      <c r="K188" s="61">
        <v>0</v>
      </c>
      <c r="L188" s="351"/>
      <c r="M188" s="65">
        <f t="shared" si="358"/>
        <v>0</v>
      </c>
      <c r="N188" s="373"/>
      <c r="O188" s="288"/>
      <c r="P188" s="288"/>
      <c r="Q188" s="286">
        <f t="shared" si="340"/>
        <v>0</v>
      </c>
      <c r="R188" s="334"/>
      <c r="S188" s="61">
        <v>0</v>
      </c>
      <c r="T188" s="376"/>
      <c r="U188" s="61">
        <v>0</v>
      </c>
      <c r="V188" s="342"/>
      <c r="W188" s="61">
        <v>0</v>
      </c>
      <c r="X188" s="342"/>
      <c r="Y188" s="211" t="e">
        <f t="shared" si="444"/>
        <v>#N/A</v>
      </c>
      <c r="Z188" s="370"/>
      <c r="AA188" s="61">
        <v>0</v>
      </c>
      <c r="AB188" s="351"/>
      <c r="AC188" s="61">
        <v>0</v>
      </c>
      <c r="AD188" s="351"/>
      <c r="AE188" s="73" t="e">
        <f t="shared" si="472"/>
        <v>#N/A</v>
      </c>
      <c r="AF188" s="356"/>
      <c r="AG188" s="73" t="e">
        <f t="shared" si="473"/>
        <v>#N/A</v>
      </c>
      <c r="AH188" s="356"/>
      <c r="AI188" s="221">
        <f t="shared" si="493"/>
        <v>29.26</v>
      </c>
      <c r="AJ188" s="78">
        <f t="shared" ref="AJ188:AP188" si="502">AJ187</f>
        <v>0.26750000000000002</v>
      </c>
      <c r="AK188" s="79">
        <f t="shared" si="502"/>
        <v>9.9166666666666661</v>
      </c>
      <c r="AL188" s="80">
        <f t="shared" si="502"/>
        <v>187</v>
      </c>
      <c r="AM188" s="78">
        <f t="shared" si="502"/>
        <v>9.737942583732058E-2</v>
      </c>
      <c r="AN188" s="80">
        <f t="shared" si="502"/>
        <v>143</v>
      </c>
      <c r="AO188" s="78">
        <f t="shared" si="502"/>
        <v>0.21099999999999999</v>
      </c>
      <c r="AP188" s="88">
        <f t="shared" si="502"/>
        <v>12</v>
      </c>
      <c r="AQ188" s="64">
        <f t="shared" si="364"/>
        <v>21.5</v>
      </c>
      <c r="AR188" s="64">
        <f t="shared" si="365"/>
        <v>11.5</v>
      </c>
      <c r="AS188" s="88">
        <f t="shared" si="366"/>
        <v>1.1830000000000001</v>
      </c>
      <c r="AT188" s="91">
        <f t="shared" si="420"/>
        <v>283</v>
      </c>
      <c r="AU188" s="94"/>
      <c r="AV188" s="95"/>
      <c r="AW188" s="56">
        <f t="shared" si="342"/>
        <v>0</v>
      </c>
      <c r="AX188" s="351"/>
      <c r="AY188" s="100">
        <f t="shared" si="371"/>
        <v>9.9166666666666661</v>
      </c>
      <c r="AZ188" s="360"/>
      <c r="BA188" s="91">
        <f t="shared" si="485"/>
        <v>-1779.6958803333375</v>
      </c>
      <c r="BB188" s="5">
        <f t="shared" si="475"/>
        <v>-9.9166666666666661</v>
      </c>
      <c r="BC188" s="363"/>
      <c r="BD188" s="91" t="e">
        <f t="shared" ca="1" si="343"/>
        <v>#N/A</v>
      </c>
      <c r="BE188" s="91" t="e">
        <f t="shared" ca="1" si="344"/>
        <v>#N/A</v>
      </c>
      <c r="BF188" s="91">
        <f t="shared" si="345"/>
        <v>31.833333333333329</v>
      </c>
      <c r="BG188" s="91" t="e">
        <f t="shared" ca="1" si="346"/>
        <v>#N/A</v>
      </c>
      <c r="BH188" s="91" t="e">
        <f t="shared" ca="1" si="392"/>
        <v>#N/A</v>
      </c>
      <c r="BI188" s="10" t="e">
        <f t="shared" ca="1" si="360"/>
        <v>#N/A</v>
      </c>
      <c r="BJ188" s="104">
        <f>((M188+Q188)*AJ188+AK188)+((U188-W188+W188/('Vergleich Holz Strom'!$B$8-0.6))*AO188+AP188)</f>
        <v>21.916666666666664</v>
      </c>
      <c r="BK188" s="10" t="e">
        <f t="shared" ca="1" si="476"/>
        <v>#N/A</v>
      </c>
      <c r="BL188" s="379"/>
      <c r="BM188" s="104" t="e">
        <f t="shared" ca="1" si="356"/>
        <v>#N/A</v>
      </c>
      <c r="BN188" s="40" t="e">
        <f ca="1">IF(ISNUMBER(BK188),BN187+SUMIF(BK182:BK193,"&lt;&gt;#NV",BK182:BK193)/COUNTIF(BK182:BK193,"&lt;&gt;#NV"),#N/A)</f>
        <v>#N/A</v>
      </c>
      <c r="BO188" s="10" t="e">
        <f t="shared" ca="1" si="481"/>
        <v>#N/A</v>
      </c>
      <c r="BP188" s="104" t="e">
        <f t="shared" ca="1" si="477"/>
        <v>#N/A</v>
      </c>
      <c r="BQ188" s="104">
        <f t="shared" ca="1" si="500"/>
        <v>-59815.095718772325</v>
      </c>
      <c r="BR188" s="10">
        <f t="shared" si="347"/>
        <v>9.9166666666666661</v>
      </c>
      <c r="BS188" s="311"/>
      <c r="BT188" s="307"/>
      <c r="BU188" s="295">
        <f t="shared" si="348"/>
        <v>0</v>
      </c>
      <c r="BV188" s="323"/>
      <c r="BW188" s="299">
        <f t="shared" si="349"/>
        <v>0</v>
      </c>
      <c r="BX188" s="295">
        <f t="shared" si="350"/>
        <v>0</v>
      </c>
      <c r="BY188" s="382"/>
      <c r="BZ188" s="299">
        <f t="shared" si="357"/>
        <v>0</v>
      </c>
      <c r="CA188" s="295">
        <f t="shared" si="362"/>
        <v>0</v>
      </c>
      <c r="CB188" s="323"/>
      <c r="CC188" s="314">
        <f t="shared" si="495"/>
        <v>0</v>
      </c>
      <c r="CD188" s="326"/>
      <c r="CE188" s="299">
        <f t="shared" si="351"/>
        <v>0</v>
      </c>
      <c r="CF188" s="284">
        <f t="shared" si="496"/>
        <v>0</v>
      </c>
      <c r="CG188" s="323"/>
      <c r="CH188" s="302">
        <f t="shared" si="389"/>
        <v>0</v>
      </c>
      <c r="CI188" s="108">
        <f t="shared" si="352"/>
        <v>0</v>
      </c>
      <c r="CJ188" s="200">
        <f t="shared" si="353"/>
        <v>0</v>
      </c>
      <c r="CK188" s="197">
        <f t="shared" si="369"/>
        <v>0</v>
      </c>
      <c r="CL188" s="203">
        <f t="shared" si="354"/>
        <v>12</v>
      </c>
      <c r="CM188" s="4">
        <f>U188*Jahresdaten!$AD$2</f>
        <v>0</v>
      </c>
      <c r="CN188" s="112">
        <f>CJ188*Jahresdaten!$AD$2</f>
        <v>0</v>
      </c>
      <c r="CO188" s="366"/>
      <c r="CP188" s="116">
        <f>U188*Jahresdaten!$AD$3</f>
        <v>0</v>
      </c>
      <c r="CQ188" s="12">
        <f>CJ188*Jahresdaten!$AD$3</f>
        <v>0</v>
      </c>
      <c r="CR188" s="353"/>
      <c r="CS188" s="14"/>
      <c r="CT188" s="136"/>
      <c r="CU188" s="140" t="str">
        <f>IF(CT188=0,"",CT188*'Vergleich Holz Strom'!$B$2)</f>
        <v/>
      </c>
      <c r="CV188" s="121" t="s">
        <v>6</v>
      </c>
      <c r="CW188" s="366"/>
      <c r="CX188" s="345"/>
      <c r="CY188" s="345"/>
      <c r="CZ188" s="345"/>
      <c r="DA188" s="348"/>
      <c r="DB188" s="94"/>
      <c r="DC188" s="88">
        <f t="shared" si="453"/>
        <v>31007.094666666588</v>
      </c>
      <c r="DD188" s="94"/>
      <c r="DE188" s="88">
        <f t="shared" si="465"/>
        <v>-24134.112547000001</v>
      </c>
      <c r="DF188" s="100" t="e">
        <f ca="1">BE188+(SUM(CS182:CS193)/12)</f>
        <v>#N/A</v>
      </c>
      <c r="DG188" s="351"/>
      <c r="DH188" s="8">
        <f t="shared" si="486"/>
        <v>0</v>
      </c>
      <c r="DI188" s="123">
        <f t="shared" si="478"/>
        <v>14000</v>
      </c>
      <c r="DJ188" s="2">
        <f t="shared" si="487"/>
        <v>0</v>
      </c>
      <c r="DK188" s="127">
        <f>DK193/12*7</f>
        <v>4550</v>
      </c>
      <c r="DL188" s="2">
        <f t="shared" si="488"/>
        <v>650</v>
      </c>
      <c r="DM188" s="130">
        <f t="shared" si="489"/>
        <v>0</v>
      </c>
      <c r="DN188" s="3">
        <f>DN193/12*7</f>
        <v>1750</v>
      </c>
      <c r="DO188" s="130">
        <f t="shared" si="490"/>
        <v>250</v>
      </c>
      <c r="DP188" s="4">
        <f t="shared" si="491"/>
        <v>0</v>
      </c>
      <c r="DQ188" s="116">
        <f t="shared" si="492"/>
        <v>7700</v>
      </c>
      <c r="DR188" s="116">
        <f t="shared" si="497"/>
        <v>1250</v>
      </c>
    </row>
    <row r="189" spans="1:122" ht="14.25" customHeight="1" thickBot="1" x14ac:dyDescent="0.2">
      <c r="A189" s="416"/>
      <c r="B189" s="16">
        <v>49065</v>
      </c>
      <c r="C189" s="207">
        <f>'PV-Felder'!$I$6</f>
        <v>3391.3999999999996</v>
      </c>
      <c r="D189" s="351"/>
      <c r="E189" s="61">
        <v>0</v>
      </c>
      <c r="F189" s="351"/>
      <c r="G189" s="56" t="e">
        <f t="shared" ca="1" si="339"/>
        <v>#N/A</v>
      </c>
      <c r="H189" s="351"/>
      <c r="I189" s="61">
        <v>0</v>
      </c>
      <c r="J189" s="351"/>
      <c r="K189" s="61">
        <v>0</v>
      </c>
      <c r="L189" s="351"/>
      <c r="M189" s="65">
        <f t="shared" si="358"/>
        <v>0</v>
      </c>
      <c r="N189" s="373"/>
      <c r="O189" s="288"/>
      <c r="P189" s="288"/>
      <c r="Q189" s="286">
        <f t="shared" si="340"/>
        <v>0</v>
      </c>
      <c r="R189" s="334"/>
      <c r="S189" s="61">
        <v>0</v>
      </c>
      <c r="T189" s="376"/>
      <c r="U189" s="61">
        <v>0</v>
      </c>
      <c r="V189" s="342"/>
      <c r="W189" s="61">
        <v>0</v>
      </c>
      <c r="X189" s="342"/>
      <c r="Y189" s="211" t="e">
        <f t="shared" si="444"/>
        <v>#N/A</v>
      </c>
      <c r="Z189" s="370"/>
      <c r="AA189" s="61">
        <v>0</v>
      </c>
      <c r="AB189" s="351"/>
      <c r="AC189" s="61">
        <v>0</v>
      </c>
      <c r="AD189" s="351"/>
      <c r="AE189" s="73" t="e">
        <f t="shared" si="472"/>
        <v>#N/A</v>
      </c>
      <c r="AF189" s="356"/>
      <c r="AG189" s="73" t="e">
        <f t="shared" si="473"/>
        <v>#N/A</v>
      </c>
      <c r="AH189" s="356"/>
      <c r="AI189" s="221">
        <f t="shared" si="493"/>
        <v>29.26</v>
      </c>
      <c r="AJ189" s="78">
        <f t="shared" ref="AJ189:AP189" si="503">AJ188</f>
        <v>0.26750000000000002</v>
      </c>
      <c r="AK189" s="79">
        <f t="shared" si="503"/>
        <v>9.9166666666666661</v>
      </c>
      <c r="AL189" s="80">
        <f t="shared" si="503"/>
        <v>187</v>
      </c>
      <c r="AM189" s="78">
        <f t="shared" si="503"/>
        <v>9.737942583732058E-2</v>
      </c>
      <c r="AN189" s="80">
        <f t="shared" si="503"/>
        <v>143</v>
      </c>
      <c r="AO189" s="78">
        <f t="shared" si="503"/>
        <v>0.21099999999999999</v>
      </c>
      <c r="AP189" s="88">
        <f t="shared" si="503"/>
        <v>12</v>
      </c>
      <c r="AQ189" s="64">
        <f t="shared" si="364"/>
        <v>21.5</v>
      </c>
      <c r="AR189" s="64">
        <f t="shared" si="365"/>
        <v>11.5</v>
      </c>
      <c r="AS189" s="88">
        <f t="shared" si="366"/>
        <v>1.1830000000000001</v>
      </c>
      <c r="AT189" s="91">
        <f t="shared" si="420"/>
        <v>283</v>
      </c>
      <c r="AU189" s="94"/>
      <c r="AV189" s="95"/>
      <c r="AW189" s="56">
        <f t="shared" si="342"/>
        <v>0</v>
      </c>
      <c r="AX189" s="351"/>
      <c r="AY189" s="100">
        <f t="shared" si="371"/>
        <v>9.9166666666666661</v>
      </c>
      <c r="AZ189" s="360"/>
      <c r="BA189" s="91">
        <f t="shared" si="485"/>
        <v>-1789.6125470000043</v>
      </c>
      <c r="BB189" s="5">
        <f t="shared" si="475"/>
        <v>-9.9166666666666661</v>
      </c>
      <c r="BC189" s="363"/>
      <c r="BD189" s="91" t="e">
        <f t="shared" ca="1" si="343"/>
        <v>#N/A</v>
      </c>
      <c r="BE189" s="91" t="e">
        <f t="shared" ca="1" si="344"/>
        <v>#N/A</v>
      </c>
      <c r="BF189" s="91">
        <f t="shared" si="345"/>
        <v>31.833333333333329</v>
      </c>
      <c r="BG189" s="91" t="e">
        <f t="shared" ca="1" si="346"/>
        <v>#N/A</v>
      </c>
      <c r="BH189" s="91" t="e">
        <f t="shared" ca="1" si="392"/>
        <v>#N/A</v>
      </c>
      <c r="BI189" s="10" t="e">
        <f t="shared" ca="1" si="360"/>
        <v>#N/A</v>
      </c>
      <c r="BJ189" s="104">
        <f>((M189+Q189)*AJ189+AK189)+((U189-W189+W189/('Vergleich Holz Strom'!$B$8-0.6))*AO189+AP189)</f>
        <v>21.916666666666664</v>
      </c>
      <c r="BK189" s="10" t="e">
        <f t="shared" ca="1" si="476"/>
        <v>#N/A</v>
      </c>
      <c r="BL189" s="379"/>
      <c r="BM189" s="104" t="e">
        <f t="shared" ca="1" si="356"/>
        <v>#N/A</v>
      </c>
      <c r="BN189" s="40" t="e">
        <f ca="1">IF(ISNUMBER(BK189),BN188+SUMIF(BK182:BK193,"&lt;&gt;#NV",BK182:BK193)/COUNTIF(BK182:BK193,"&lt;&gt;#NV"),#N/A)</f>
        <v>#N/A</v>
      </c>
      <c r="BO189" s="10" t="e">
        <f t="shared" ca="1" si="481"/>
        <v>#N/A</v>
      </c>
      <c r="BP189" s="104" t="e">
        <f t="shared" ca="1" si="477"/>
        <v>#N/A</v>
      </c>
      <c r="BQ189" s="104">
        <f t="shared" ca="1" si="500"/>
        <v>-59795.895718772314</v>
      </c>
      <c r="BR189" s="10">
        <f t="shared" si="347"/>
        <v>9.9166666666666661</v>
      </c>
      <c r="BS189" s="311"/>
      <c r="BT189" s="307"/>
      <c r="BU189" s="295">
        <f t="shared" si="348"/>
        <v>0</v>
      </c>
      <c r="BV189" s="323"/>
      <c r="BW189" s="299">
        <f t="shared" si="349"/>
        <v>0</v>
      </c>
      <c r="BX189" s="295">
        <f t="shared" si="350"/>
        <v>0</v>
      </c>
      <c r="BY189" s="382"/>
      <c r="BZ189" s="299">
        <f t="shared" si="357"/>
        <v>0</v>
      </c>
      <c r="CA189" s="295">
        <f t="shared" si="362"/>
        <v>0</v>
      </c>
      <c r="CB189" s="323"/>
      <c r="CC189" s="314">
        <f t="shared" si="495"/>
        <v>0</v>
      </c>
      <c r="CD189" s="326"/>
      <c r="CE189" s="299">
        <f t="shared" si="351"/>
        <v>0</v>
      </c>
      <c r="CF189" s="284">
        <f t="shared" si="496"/>
        <v>0</v>
      </c>
      <c r="CG189" s="323"/>
      <c r="CH189" s="302">
        <f t="shared" si="389"/>
        <v>0</v>
      </c>
      <c r="CI189" s="108">
        <f t="shared" si="352"/>
        <v>0</v>
      </c>
      <c r="CJ189" s="200">
        <f t="shared" si="353"/>
        <v>0</v>
      </c>
      <c r="CK189" s="197">
        <f t="shared" si="369"/>
        <v>0</v>
      </c>
      <c r="CL189" s="203">
        <f t="shared" si="354"/>
        <v>12</v>
      </c>
      <c r="CM189" s="4">
        <f>U189*Jahresdaten!$AD$2</f>
        <v>0</v>
      </c>
      <c r="CN189" s="112">
        <f>CJ189*Jahresdaten!$AD$2</f>
        <v>0</v>
      </c>
      <c r="CO189" s="366"/>
      <c r="CP189" s="116">
        <f>U189*Jahresdaten!$AD$3</f>
        <v>0</v>
      </c>
      <c r="CQ189" s="12">
        <f>CJ189*Jahresdaten!$AD$3</f>
        <v>0</v>
      </c>
      <c r="CR189" s="353"/>
      <c r="CS189" s="14"/>
      <c r="CT189" s="136"/>
      <c r="CU189" s="140" t="str">
        <f>IF(CT189=0,"",CT189*'Vergleich Holz Strom'!$B$2)</f>
        <v/>
      </c>
      <c r="CV189" s="353">
        <f>SUM(CS182:CS193)</f>
        <v>1169</v>
      </c>
      <c r="CW189" s="366"/>
      <c r="CX189" s="345"/>
      <c r="CY189" s="345"/>
      <c r="CZ189" s="345"/>
      <c r="DA189" s="348"/>
      <c r="DB189" s="94"/>
      <c r="DC189" s="88">
        <f t="shared" si="453"/>
        <v>31184.17799999992</v>
      </c>
      <c r="DD189" s="94"/>
      <c r="DE189" s="88">
        <f t="shared" si="465"/>
        <v>-24277.112547000001</v>
      </c>
      <c r="DF189" s="100" t="e">
        <f ca="1">BE189+(SUM(CS182:CS193)/12)</f>
        <v>#N/A</v>
      </c>
      <c r="DG189" s="351"/>
      <c r="DH189" s="8">
        <f t="shared" si="486"/>
        <v>0</v>
      </c>
      <c r="DI189" s="123">
        <f t="shared" si="478"/>
        <v>16000</v>
      </c>
      <c r="DJ189" s="2">
        <f t="shared" si="487"/>
        <v>0</v>
      </c>
      <c r="DK189" s="127">
        <f>DK193/12*8</f>
        <v>5200</v>
      </c>
      <c r="DL189" s="2">
        <f t="shared" si="488"/>
        <v>650</v>
      </c>
      <c r="DM189" s="130">
        <f t="shared" si="489"/>
        <v>0</v>
      </c>
      <c r="DN189" s="3">
        <f>DN193/12*8</f>
        <v>2000</v>
      </c>
      <c r="DO189" s="130">
        <f t="shared" si="490"/>
        <v>250</v>
      </c>
      <c r="DP189" s="4">
        <f t="shared" si="491"/>
        <v>0</v>
      </c>
      <c r="DQ189" s="116">
        <f t="shared" si="492"/>
        <v>8800</v>
      </c>
      <c r="DR189" s="116">
        <f t="shared" si="497"/>
        <v>1100</v>
      </c>
    </row>
    <row r="190" spans="1:122" ht="14.25" customHeight="1" thickBot="1" x14ac:dyDescent="0.2">
      <c r="A190" s="416"/>
      <c r="B190" s="16">
        <v>49096</v>
      </c>
      <c r="C190" s="207">
        <f>'PV-Felder'!$I$7</f>
        <v>3595.6000000000004</v>
      </c>
      <c r="D190" s="351"/>
      <c r="E190" s="61">
        <v>0</v>
      </c>
      <c r="F190" s="351"/>
      <c r="G190" s="56" t="e">
        <f t="shared" ca="1" si="339"/>
        <v>#N/A</v>
      </c>
      <c r="H190" s="351"/>
      <c r="I190" s="61">
        <v>0</v>
      </c>
      <c r="J190" s="351"/>
      <c r="K190" s="61">
        <v>0</v>
      </c>
      <c r="L190" s="351"/>
      <c r="M190" s="65">
        <f t="shared" si="358"/>
        <v>0</v>
      </c>
      <c r="N190" s="373"/>
      <c r="O190" s="288"/>
      <c r="P190" s="288"/>
      <c r="Q190" s="286">
        <f t="shared" si="340"/>
        <v>0</v>
      </c>
      <c r="R190" s="334"/>
      <c r="S190" s="61">
        <v>0</v>
      </c>
      <c r="T190" s="376"/>
      <c r="U190" s="61">
        <v>0</v>
      </c>
      <c r="V190" s="342"/>
      <c r="W190" s="61">
        <v>0</v>
      </c>
      <c r="X190" s="342"/>
      <c r="Y190" s="211" t="e">
        <f t="shared" si="444"/>
        <v>#N/A</v>
      </c>
      <c r="Z190" s="370"/>
      <c r="AA190" s="61">
        <v>0</v>
      </c>
      <c r="AB190" s="351"/>
      <c r="AC190" s="61">
        <v>0</v>
      </c>
      <c r="AD190" s="351"/>
      <c r="AE190" s="73" t="e">
        <f t="shared" si="472"/>
        <v>#N/A</v>
      </c>
      <c r="AF190" s="356"/>
      <c r="AG190" s="73" t="e">
        <f t="shared" si="473"/>
        <v>#N/A</v>
      </c>
      <c r="AH190" s="356"/>
      <c r="AI190" s="221">
        <f t="shared" si="493"/>
        <v>29.26</v>
      </c>
      <c r="AJ190" s="78">
        <f t="shared" ref="AJ190:AP190" si="504">AJ189</f>
        <v>0.26750000000000002</v>
      </c>
      <c r="AK190" s="79">
        <f t="shared" si="504"/>
        <v>9.9166666666666661</v>
      </c>
      <c r="AL190" s="80">
        <f t="shared" si="504"/>
        <v>187</v>
      </c>
      <c r="AM190" s="78">
        <f t="shared" si="504"/>
        <v>9.737942583732058E-2</v>
      </c>
      <c r="AN190" s="80">
        <f t="shared" si="504"/>
        <v>143</v>
      </c>
      <c r="AO190" s="78">
        <f t="shared" si="504"/>
        <v>0.21099999999999999</v>
      </c>
      <c r="AP190" s="88">
        <f t="shared" si="504"/>
        <v>12</v>
      </c>
      <c r="AQ190" s="64">
        <f t="shared" si="364"/>
        <v>21.5</v>
      </c>
      <c r="AR190" s="64">
        <f t="shared" si="365"/>
        <v>11.5</v>
      </c>
      <c r="AS190" s="88">
        <f t="shared" si="366"/>
        <v>1.1830000000000001</v>
      </c>
      <c r="AT190" s="91">
        <f t="shared" si="420"/>
        <v>283</v>
      </c>
      <c r="AU190" s="94"/>
      <c r="AV190" s="95"/>
      <c r="AW190" s="56">
        <f t="shared" si="342"/>
        <v>0</v>
      </c>
      <c r="AX190" s="351"/>
      <c r="AY190" s="100">
        <f t="shared" si="371"/>
        <v>9.9166666666666661</v>
      </c>
      <c r="AZ190" s="360"/>
      <c r="BA190" s="91">
        <f t="shared" si="485"/>
        <v>-1799.529213666671</v>
      </c>
      <c r="BB190" s="5">
        <f t="shared" si="475"/>
        <v>-9.9166666666666661</v>
      </c>
      <c r="BC190" s="363"/>
      <c r="BD190" s="91" t="e">
        <f t="shared" ca="1" si="343"/>
        <v>#N/A</v>
      </c>
      <c r="BE190" s="91" t="e">
        <f t="shared" ca="1" si="344"/>
        <v>#N/A</v>
      </c>
      <c r="BF190" s="91">
        <f t="shared" si="345"/>
        <v>31.833333333333329</v>
      </c>
      <c r="BG190" s="91" t="e">
        <f t="shared" ca="1" si="346"/>
        <v>#N/A</v>
      </c>
      <c r="BH190" s="91" t="e">
        <f t="shared" ca="1" si="392"/>
        <v>#N/A</v>
      </c>
      <c r="BI190" s="10" t="e">
        <f t="shared" ca="1" si="360"/>
        <v>#N/A</v>
      </c>
      <c r="BJ190" s="104">
        <f>((M190+Q190)*AJ190+AK190)+((U190-W190+W190/('Vergleich Holz Strom'!$B$8-0.6))*AO190+AP190)</f>
        <v>21.916666666666664</v>
      </c>
      <c r="BK190" s="10" t="e">
        <f t="shared" ca="1" si="476"/>
        <v>#N/A</v>
      </c>
      <c r="BL190" s="379"/>
      <c r="BM190" s="104" t="e">
        <f t="shared" ca="1" si="356"/>
        <v>#N/A</v>
      </c>
      <c r="BN190" s="40" t="e">
        <f ca="1">IF(ISNUMBER(BK190),BN189+SUMIF(BK182:BK193,"&lt;&gt;#NV",BK182:BK193)/COUNTIF(BK182:BK193,"&lt;&gt;#NV"),#N/A)</f>
        <v>#N/A</v>
      </c>
      <c r="BO190" s="10" t="e">
        <f t="shared" ca="1" si="481"/>
        <v>#N/A</v>
      </c>
      <c r="BP190" s="104" t="e">
        <f t="shared" ca="1" si="477"/>
        <v>#N/A</v>
      </c>
      <c r="BQ190" s="104">
        <f t="shared" ca="1" si="500"/>
        <v>-59779.698167586015</v>
      </c>
      <c r="BR190" s="10">
        <f t="shared" si="347"/>
        <v>9.9166666666666661</v>
      </c>
      <c r="BS190" s="311"/>
      <c r="BT190" s="307"/>
      <c r="BU190" s="295">
        <f t="shared" si="348"/>
        <v>0</v>
      </c>
      <c r="BV190" s="323"/>
      <c r="BW190" s="299">
        <f t="shared" si="349"/>
        <v>0</v>
      </c>
      <c r="BX190" s="295">
        <f t="shared" si="350"/>
        <v>0</v>
      </c>
      <c r="BY190" s="382"/>
      <c r="BZ190" s="299">
        <f t="shared" si="357"/>
        <v>0</v>
      </c>
      <c r="CA190" s="295">
        <f t="shared" si="362"/>
        <v>0</v>
      </c>
      <c r="CB190" s="323"/>
      <c r="CC190" s="314">
        <f t="shared" si="495"/>
        <v>0</v>
      </c>
      <c r="CD190" s="326"/>
      <c r="CE190" s="299">
        <f t="shared" si="351"/>
        <v>0</v>
      </c>
      <c r="CF190" s="284">
        <f t="shared" si="496"/>
        <v>0</v>
      </c>
      <c r="CG190" s="323"/>
      <c r="CH190" s="302">
        <f t="shared" si="389"/>
        <v>0</v>
      </c>
      <c r="CI190" s="108">
        <f t="shared" si="352"/>
        <v>0</v>
      </c>
      <c r="CJ190" s="200">
        <f t="shared" si="353"/>
        <v>0</v>
      </c>
      <c r="CK190" s="197">
        <f t="shared" si="369"/>
        <v>0</v>
      </c>
      <c r="CL190" s="203">
        <f t="shared" si="354"/>
        <v>12</v>
      </c>
      <c r="CM190" s="4">
        <f>U190*Jahresdaten!$AD$2</f>
        <v>0</v>
      </c>
      <c r="CN190" s="112">
        <f>CJ190*Jahresdaten!$AD$2</f>
        <v>0</v>
      </c>
      <c r="CO190" s="366"/>
      <c r="CP190" s="116">
        <f>U190*Jahresdaten!$AD$3</f>
        <v>0</v>
      </c>
      <c r="CQ190" s="12">
        <f>CJ190*Jahresdaten!$AD$3</f>
        <v>0</v>
      </c>
      <c r="CR190" s="353"/>
      <c r="CS190" s="14"/>
      <c r="CT190" s="136"/>
      <c r="CU190" s="140" t="str">
        <f>IF(CT190=0,"",CT190*'Vergleich Holz Strom'!$B$2)</f>
        <v/>
      </c>
      <c r="CV190" s="353"/>
      <c r="CW190" s="366"/>
      <c r="CX190" s="345"/>
      <c r="CY190" s="345"/>
      <c r="CZ190" s="345"/>
      <c r="DA190" s="348"/>
      <c r="DB190" s="94"/>
      <c r="DC190" s="88">
        <f t="shared" si="453"/>
        <v>31361.261333333252</v>
      </c>
      <c r="DD190" s="94"/>
      <c r="DE190" s="88">
        <f t="shared" si="465"/>
        <v>-24420.112547000001</v>
      </c>
      <c r="DF190" s="100" t="e">
        <f ca="1">BE190+(SUM(CS182:CS193)/12)</f>
        <v>#N/A</v>
      </c>
      <c r="DG190" s="351"/>
      <c r="DH190" s="8">
        <f t="shared" si="486"/>
        <v>0</v>
      </c>
      <c r="DI190" s="123">
        <f t="shared" si="478"/>
        <v>17200</v>
      </c>
      <c r="DJ190" s="2">
        <f t="shared" si="487"/>
        <v>0</v>
      </c>
      <c r="DK190" s="127">
        <f>DK193/12*9</f>
        <v>5850</v>
      </c>
      <c r="DL190" s="2">
        <f t="shared" si="488"/>
        <v>650</v>
      </c>
      <c r="DM190" s="130">
        <f t="shared" si="489"/>
        <v>0</v>
      </c>
      <c r="DN190" s="3">
        <f>DN193/12*9</f>
        <v>2250</v>
      </c>
      <c r="DO190" s="130">
        <f t="shared" si="490"/>
        <v>250</v>
      </c>
      <c r="DP190" s="4">
        <f t="shared" si="491"/>
        <v>0</v>
      </c>
      <c r="DQ190" s="116">
        <f t="shared" si="492"/>
        <v>9100</v>
      </c>
      <c r="DR190" s="116">
        <f t="shared" si="497"/>
        <v>300</v>
      </c>
    </row>
    <row r="191" spans="1:122" ht="14.25" customHeight="1" thickBot="1" x14ac:dyDescent="0.2">
      <c r="A191" s="416"/>
      <c r="B191" s="16">
        <v>49126</v>
      </c>
      <c r="C191" s="207">
        <f>'PV-Felder'!$I$8</f>
        <v>3593.8</v>
      </c>
      <c r="D191" s="351"/>
      <c r="E191" s="61">
        <v>0</v>
      </c>
      <c r="F191" s="351"/>
      <c r="G191" s="56" t="e">
        <f t="shared" ca="1" si="339"/>
        <v>#N/A</v>
      </c>
      <c r="H191" s="351"/>
      <c r="I191" s="61">
        <v>0</v>
      </c>
      <c r="J191" s="351"/>
      <c r="K191" s="61">
        <v>0</v>
      </c>
      <c r="L191" s="351"/>
      <c r="M191" s="65">
        <f t="shared" si="358"/>
        <v>0</v>
      </c>
      <c r="N191" s="373"/>
      <c r="O191" s="288"/>
      <c r="P191" s="288"/>
      <c r="Q191" s="286">
        <f t="shared" si="340"/>
        <v>0</v>
      </c>
      <c r="R191" s="334"/>
      <c r="S191" s="61">
        <v>0</v>
      </c>
      <c r="T191" s="376"/>
      <c r="U191" s="61">
        <v>0</v>
      </c>
      <c r="V191" s="342"/>
      <c r="W191" s="61">
        <v>0</v>
      </c>
      <c r="X191" s="342"/>
      <c r="Y191" s="211" t="e">
        <f t="shared" si="444"/>
        <v>#N/A</v>
      </c>
      <c r="Z191" s="370"/>
      <c r="AA191" s="61">
        <v>0</v>
      </c>
      <c r="AB191" s="351"/>
      <c r="AC191" s="61">
        <v>0</v>
      </c>
      <c r="AD191" s="351"/>
      <c r="AE191" s="73" t="e">
        <f t="shared" si="472"/>
        <v>#N/A</v>
      </c>
      <c r="AF191" s="356"/>
      <c r="AG191" s="73" t="e">
        <f t="shared" si="473"/>
        <v>#N/A</v>
      </c>
      <c r="AH191" s="356"/>
      <c r="AI191" s="221">
        <f t="shared" si="493"/>
        <v>29.26</v>
      </c>
      <c r="AJ191" s="78">
        <f t="shared" ref="AJ191:AP191" si="505">AJ190</f>
        <v>0.26750000000000002</v>
      </c>
      <c r="AK191" s="79">
        <f t="shared" si="505"/>
        <v>9.9166666666666661</v>
      </c>
      <c r="AL191" s="80">
        <f t="shared" si="505"/>
        <v>187</v>
      </c>
      <c r="AM191" s="78">
        <f t="shared" si="505"/>
        <v>9.737942583732058E-2</v>
      </c>
      <c r="AN191" s="80">
        <f t="shared" si="505"/>
        <v>143</v>
      </c>
      <c r="AO191" s="78">
        <f t="shared" si="505"/>
        <v>0.21099999999999999</v>
      </c>
      <c r="AP191" s="88">
        <f t="shared" si="505"/>
        <v>12</v>
      </c>
      <c r="AQ191" s="64">
        <f t="shared" si="364"/>
        <v>21.5</v>
      </c>
      <c r="AR191" s="64">
        <f t="shared" si="365"/>
        <v>11.5</v>
      </c>
      <c r="AS191" s="88">
        <f t="shared" si="366"/>
        <v>1.1830000000000001</v>
      </c>
      <c r="AT191" s="91">
        <f t="shared" si="420"/>
        <v>283</v>
      </c>
      <c r="AU191" s="94"/>
      <c r="AV191" s="95"/>
      <c r="AW191" s="56">
        <f t="shared" si="342"/>
        <v>0</v>
      </c>
      <c r="AX191" s="351"/>
      <c r="AY191" s="100">
        <f t="shared" si="371"/>
        <v>9.9166666666666661</v>
      </c>
      <c r="AZ191" s="360"/>
      <c r="BA191" s="91">
        <f t="shared" si="485"/>
        <v>-1809.4458803333378</v>
      </c>
      <c r="BB191" s="5">
        <f t="shared" si="475"/>
        <v>-9.9166666666666661</v>
      </c>
      <c r="BC191" s="363"/>
      <c r="BD191" s="91" t="e">
        <f t="shared" ca="1" si="343"/>
        <v>#N/A</v>
      </c>
      <c r="BE191" s="91" t="e">
        <f t="shared" ca="1" si="344"/>
        <v>#N/A</v>
      </c>
      <c r="BF191" s="91">
        <f t="shared" si="345"/>
        <v>31.833333333333329</v>
      </c>
      <c r="BG191" s="91" t="e">
        <f t="shared" ca="1" si="346"/>
        <v>#N/A</v>
      </c>
      <c r="BH191" s="91" t="e">
        <f t="shared" ca="1" si="392"/>
        <v>#N/A</v>
      </c>
      <c r="BI191" s="10" t="e">
        <f t="shared" ca="1" si="360"/>
        <v>#N/A</v>
      </c>
      <c r="BJ191" s="104">
        <f>((M191+Q191)*AJ191+AK191)+((U191-W191+W191/('Vergleich Holz Strom'!$B$8-0.6))*AO191+AP191)</f>
        <v>21.916666666666664</v>
      </c>
      <c r="BK191" s="10" t="e">
        <f t="shared" ca="1" si="476"/>
        <v>#N/A</v>
      </c>
      <c r="BL191" s="379"/>
      <c r="BM191" s="104" t="e">
        <f t="shared" ca="1" si="356"/>
        <v>#N/A</v>
      </c>
      <c r="BN191" s="40" t="e">
        <f ca="1">IF(ISNUMBER(BK191),BN190+SUMIF(BK182:BK193,"&lt;&gt;#NV",BK182:BK193)/COUNTIF(BK182:BK193,"&lt;&gt;#NV"),#N/A)</f>
        <v>#N/A</v>
      </c>
      <c r="BO191" s="10" t="e">
        <f ca="1">BK191+AT191+AU191</f>
        <v>#N/A</v>
      </c>
      <c r="BP191" s="104" t="e">
        <f t="shared" ca="1" si="477"/>
        <v>#N/A</v>
      </c>
      <c r="BQ191" s="104">
        <f t="shared" ca="1" si="500"/>
        <v>-59763.500616399717</v>
      </c>
      <c r="BR191" s="10">
        <f t="shared" si="347"/>
        <v>9.9166666666666661</v>
      </c>
      <c r="BS191" s="311"/>
      <c r="BT191" s="307"/>
      <c r="BU191" s="295">
        <f t="shared" si="348"/>
        <v>0</v>
      </c>
      <c r="BV191" s="323"/>
      <c r="BW191" s="299">
        <f t="shared" si="349"/>
        <v>0</v>
      </c>
      <c r="BX191" s="295">
        <f t="shared" si="350"/>
        <v>0</v>
      </c>
      <c r="BY191" s="382"/>
      <c r="BZ191" s="299">
        <f t="shared" si="357"/>
        <v>0</v>
      </c>
      <c r="CA191" s="295">
        <f t="shared" si="362"/>
        <v>0</v>
      </c>
      <c r="CB191" s="323"/>
      <c r="CC191" s="314">
        <f t="shared" si="495"/>
        <v>0</v>
      </c>
      <c r="CD191" s="326"/>
      <c r="CE191" s="299">
        <f t="shared" si="351"/>
        <v>0</v>
      </c>
      <c r="CF191" s="284">
        <f t="shared" si="496"/>
        <v>0</v>
      </c>
      <c r="CG191" s="323"/>
      <c r="CH191" s="302">
        <f t="shared" si="389"/>
        <v>0</v>
      </c>
      <c r="CI191" s="108">
        <f t="shared" si="352"/>
        <v>0</v>
      </c>
      <c r="CJ191" s="200">
        <f t="shared" si="353"/>
        <v>0</v>
      </c>
      <c r="CK191" s="197">
        <f t="shared" si="369"/>
        <v>0</v>
      </c>
      <c r="CL191" s="203">
        <f t="shared" si="354"/>
        <v>12</v>
      </c>
      <c r="CM191" s="4">
        <f>U191*Jahresdaten!$AD$2</f>
        <v>0</v>
      </c>
      <c r="CN191" s="112">
        <f>CJ191*Jahresdaten!$AD$2</f>
        <v>0</v>
      </c>
      <c r="CO191" s="366"/>
      <c r="CP191" s="116">
        <f>U191*Jahresdaten!$AD$3</f>
        <v>0</v>
      </c>
      <c r="CQ191" s="12">
        <f>CJ191*Jahresdaten!$AD$3</f>
        <v>0</v>
      </c>
      <c r="CR191" s="353"/>
      <c r="CS191" s="14"/>
      <c r="CT191" s="136"/>
      <c r="CU191" s="140" t="str">
        <f>IF(CT191=0,"",CT191*'Vergleich Holz Strom'!$B$2)</f>
        <v/>
      </c>
      <c r="CV191" s="353"/>
      <c r="CW191" s="366"/>
      <c r="CX191" s="345"/>
      <c r="CY191" s="345"/>
      <c r="CZ191" s="345"/>
      <c r="DA191" s="348"/>
      <c r="DB191" s="94"/>
      <c r="DC191" s="88">
        <f t="shared" si="453"/>
        <v>31538.344666666584</v>
      </c>
      <c r="DD191" s="94"/>
      <c r="DE191" s="88">
        <f t="shared" si="465"/>
        <v>-24563.112547000001</v>
      </c>
      <c r="DF191" s="100" t="e">
        <f ca="1">BE191+(SUM(CS182:CS193)/12)</f>
        <v>#N/A</v>
      </c>
      <c r="DG191" s="351"/>
      <c r="DH191" s="8">
        <f t="shared" si="486"/>
        <v>0</v>
      </c>
      <c r="DI191" s="123">
        <f t="shared" si="478"/>
        <v>18250</v>
      </c>
      <c r="DJ191" s="2">
        <f t="shared" si="487"/>
        <v>0</v>
      </c>
      <c r="DK191" s="127">
        <f>DK193/12*10</f>
        <v>6500</v>
      </c>
      <c r="DL191" s="2">
        <f t="shared" si="488"/>
        <v>650</v>
      </c>
      <c r="DM191" s="130">
        <f t="shared" si="489"/>
        <v>0</v>
      </c>
      <c r="DN191" s="3">
        <f>DN193/12*10</f>
        <v>2500</v>
      </c>
      <c r="DO191" s="130">
        <f t="shared" si="490"/>
        <v>250</v>
      </c>
      <c r="DP191" s="4">
        <f t="shared" si="491"/>
        <v>0</v>
      </c>
      <c r="DQ191" s="116">
        <f t="shared" si="492"/>
        <v>9250</v>
      </c>
      <c r="DR191" s="116">
        <f t="shared" si="497"/>
        <v>150</v>
      </c>
    </row>
    <row r="192" spans="1:122" ht="14.25" customHeight="1" thickBot="1" x14ac:dyDescent="0.2">
      <c r="A192" s="416"/>
      <c r="B192" s="16">
        <v>49157</v>
      </c>
      <c r="C192" s="207">
        <f>'PV-Felder'!$I$9</f>
        <v>3065.7</v>
      </c>
      <c r="D192" s="351"/>
      <c r="E192" s="61">
        <v>0</v>
      </c>
      <c r="F192" s="351"/>
      <c r="G192" s="56" t="e">
        <f t="shared" ca="1" si="339"/>
        <v>#N/A</v>
      </c>
      <c r="H192" s="351"/>
      <c r="I192" s="61">
        <v>0</v>
      </c>
      <c r="J192" s="351"/>
      <c r="K192" s="61">
        <v>0</v>
      </c>
      <c r="L192" s="351"/>
      <c r="M192" s="65">
        <f t="shared" si="358"/>
        <v>0</v>
      </c>
      <c r="N192" s="373"/>
      <c r="O192" s="288"/>
      <c r="P192" s="288"/>
      <c r="Q192" s="286">
        <f t="shared" si="340"/>
        <v>0</v>
      </c>
      <c r="R192" s="334"/>
      <c r="S192" s="61">
        <v>0</v>
      </c>
      <c r="T192" s="376"/>
      <c r="U192" s="61">
        <v>0</v>
      </c>
      <c r="V192" s="342"/>
      <c r="W192" s="61">
        <v>0</v>
      </c>
      <c r="X192" s="342"/>
      <c r="Y192" s="211" t="e">
        <f t="shared" si="444"/>
        <v>#N/A</v>
      </c>
      <c r="Z192" s="370"/>
      <c r="AA192" s="61">
        <v>0</v>
      </c>
      <c r="AB192" s="351"/>
      <c r="AC192" s="61">
        <v>0</v>
      </c>
      <c r="AD192" s="351"/>
      <c r="AE192" s="73" t="e">
        <f t="shared" si="472"/>
        <v>#N/A</v>
      </c>
      <c r="AF192" s="356"/>
      <c r="AG192" s="73" t="e">
        <f t="shared" si="473"/>
        <v>#N/A</v>
      </c>
      <c r="AH192" s="356"/>
      <c r="AI192" s="221">
        <f t="shared" si="493"/>
        <v>29.26</v>
      </c>
      <c r="AJ192" s="78">
        <f t="shared" ref="AJ192:AP192" si="506">AJ191</f>
        <v>0.26750000000000002</v>
      </c>
      <c r="AK192" s="79">
        <f t="shared" si="506"/>
        <v>9.9166666666666661</v>
      </c>
      <c r="AL192" s="80">
        <f t="shared" si="506"/>
        <v>187</v>
      </c>
      <c r="AM192" s="78">
        <f t="shared" si="506"/>
        <v>9.737942583732058E-2</v>
      </c>
      <c r="AN192" s="80">
        <f t="shared" si="506"/>
        <v>143</v>
      </c>
      <c r="AO192" s="78">
        <f t="shared" si="506"/>
        <v>0.21099999999999999</v>
      </c>
      <c r="AP192" s="88">
        <f t="shared" si="506"/>
        <v>12</v>
      </c>
      <c r="AQ192" s="64">
        <f t="shared" si="364"/>
        <v>21.5</v>
      </c>
      <c r="AR192" s="64">
        <f t="shared" si="365"/>
        <v>11.5</v>
      </c>
      <c r="AS192" s="88">
        <f t="shared" si="366"/>
        <v>1.1830000000000001</v>
      </c>
      <c r="AT192" s="91">
        <f t="shared" si="420"/>
        <v>283</v>
      </c>
      <c r="AU192" s="94"/>
      <c r="AV192" s="95"/>
      <c r="AW192" s="56">
        <f t="shared" si="342"/>
        <v>0</v>
      </c>
      <c r="AX192" s="351"/>
      <c r="AY192" s="100">
        <f t="shared" si="371"/>
        <v>9.9166666666666661</v>
      </c>
      <c r="AZ192" s="360"/>
      <c r="BA192" s="91">
        <f t="shared" si="485"/>
        <v>-1819.3625470000045</v>
      </c>
      <c r="BB192" s="5">
        <f t="shared" si="475"/>
        <v>-9.9166666666666661</v>
      </c>
      <c r="BC192" s="363"/>
      <c r="BD192" s="91" t="e">
        <f t="shared" ca="1" si="343"/>
        <v>#N/A</v>
      </c>
      <c r="BE192" s="91" t="e">
        <f t="shared" ca="1" si="344"/>
        <v>#N/A</v>
      </c>
      <c r="BF192" s="91">
        <f t="shared" si="345"/>
        <v>31.833333333333329</v>
      </c>
      <c r="BG192" s="91" t="e">
        <f t="shared" ca="1" si="346"/>
        <v>#N/A</v>
      </c>
      <c r="BH192" s="91" t="e">
        <f t="shared" ca="1" si="392"/>
        <v>#N/A</v>
      </c>
      <c r="BI192" s="10" t="e">
        <f t="shared" ca="1" si="360"/>
        <v>#N/A</v>
      </c>
      <c r="BJ192" s="104">
        <f>((M192+Q192)*AJ192+AK192)+((U192-W192+W192/('Vergleich Holz Strom'!$B$8-0.6))*AO192+AP192)</f>
        <v>21.916666666666664</v>
      </c>
      <c r="BK192" s="10" t="e">
        <f t="shared" ca="1" si="476"/>
        <v>#N/A</v>
      </c>
      <c r="BL192" s="379"/>
      <c r="BM192" s="104" t="e">
        <f t="shared" ca="1" si="356"/>
        <v>#N/A</v>
      </c>
      <c r="BN192" s="40" t="e">
        <f ca="1">IF(ISNUMBER(BK192),BN191+SUMIF(BK182:BK193,"&lt;&gt;#NV",BK182:BK193)/COUNTIF(BK182:BK193,"&lt;&gt;#NV"),#N/A)</f>
        <v>#N/A</v>
      </c>
      <c r="BO192" s="10" t="e">
        <f t="shared" ref="BO192:BO202" ca="1" si="507">BK192+AT192+AU192</f>
        <v>#N/A</v>
      </c>
      <c r="BP192" s="104" t="e">
        <f t="shared" ca="1" si="477"/>
        <v>#N/A</v>
      </c>
      <c r="BQ192" s="104">
        <f t="shared" ca="1" si="500"/>
        <v>-59747.303065213418</v>
      </c>
      <c r="BR192" s="10">
        <f t="shared" si="347"/>
        <v>9.9166666666666661</v>
      </c>
      <c r="BS192" s="311"/>
      <c r="BT192" s="307"/>
      <c r="BU192" s="295">
        <f t="shared" si="348"/>
        <v>0</v>
      </c>
      <c r="BV192" s="323"/>
      <c r="BW192" s="299">
        <f t="shared" si="349"/>
        <v>0</v>
      </c>
      <c r="BX192" s="295">
        <f t="shared" si="350"/>
        <v>0</v>
      </c>
      <c r="BY192" s="382"/>
      <c r="BZ192" s="299">
        <f t="shared" si="357"/>
        <v>0</v>
      </c>
      <c r="CA192" s="295">
        <f t="shared" si="362"/>
        <v>0</v>
      </c>
      <c r="CB192" s="323"/>
      <c r="CC192" s="314">
        <f t="shared" si="495"/>
        <v>0</v>
      </c>
      <c r="CD192" s="326"/>
      <c r="CE192" s="299">
        <f t="shared" si="351"/>
        <v>0</v>
      </c>
      <c r="CF192" s="284">
        <f t="shared" si="496"/>
        <v>0</v>
      </c>
      <c r="CG192" s="323"/>
      <c r="CH192" s="302">
        <f t="shared" si="389"/>
        <v>0</v>
      </c>
      <c r="CI192" s="108">
        <f t="shared" si="352"/>
        <v>0</v>
      </c>
      <c r="CJ192" s="200">
        <f t="shared" si="353"/>
        <v>0</v>
      </c>
      <c r="CK192" s="197">
        <f t="shared" si="369"/>
        <v>0</v>
      </c>
      <c r="CL192" s="203">
        <f t="shared" si="354"/>
        <v>12</v>
      </c>
      <c r="CM192" s="4">
        <f>U192*Jahresdaten!$AD$2</f>
        <v>0</v>
      </c>
      <c r="CN192" s="112">
        <f>CJ192*Jahresdaten!$AD$2</f>
        <v>0</v>
      </c>
      <c r="CO192" s="366"/>
      <c r="CP192" s="116">
        <f>U192*Jahresdaten!$AD$3</f>
        <v>0</v>
      </c>
      <c r="CQ192" s="12">
        <f>CJ192*Jahresdaten!$AD$3</f>
        <v>0</v>
      </c>
      <c r="CR192" s="353"/>
      <c r="CS192" s="14"/>
      <c r="CT192" s="136"/>
      <c r="CU192" s="140" t="str">
        <f>IF(CT192=0,"",CT192*'Vergleich Holz Strom'!$B$2)</f>
        <v/>
      </c>
      <c r="CV192" s="353"/>
      <c r="CW192" s="366"/>
      <c r="CX192" s="345"/>
      <c r="CY192" s="345"/>
      <c r="CZ192" s="345"/>
      <c r="DA192" s="348"/>
      <c r="DB192" s="94"/>
      <c r="DC192" s="88">
        <f t="shared" si="453"/>
        <v>31715.427999999916</v>
      </c>
      <c r="DD192" s="94"/>
      <c r="DE192" s="88">
        <f t="shared" si="465"/>
        <v>-24706.112547000001</v>
      </c>
      <c r="DF192" s="100" t="e">
        <f ca="1">BE192+(SUM(CS182:CS193)/12)</f>
        <v>#N/A</v>
      </c>
      <c r="DG192" s="351"/>
      <c r="DH192" s="8">
        <f t="shared" si="486"/>
        <v>0</v>
      </c>
      <c r="DI192" s="123">
        <f t="shared" si="478"/>
        <v>19300</v>
      </c>
      <c r="DJ192" s="2">
        <f t="shared" si="487"/>
        <v>0</v>
      </c>
      <c r="DK192" s="127">
        <f>DK193/12*11</f>
        <v>7150</v>
      </c>
      <c r="DL192" s="2">
        <f t="shared" si="488"/>
        <v>650</v>
      </c>
      <c r="DM192" s="130">
        <f t="shared" si="489"/>
        <v>0</v>
      </c>
      <c r="DN192" s="3">
        <f>DN193/12*11</f>
        <v>2750</v>
      </c>
      <c r="DO192" s="130">
        <f t="shared" si="490"/>
        <v>250</v>
      </c>
      <c r="DP192" s="4">
        <f t="shared" si="491"/>
        <v>0</v>
      </c>
      <c r="DQ192" s="116">
        <f t="shared" si="492"/>
        <v>9400</v>
      </c>
      <c r="DR192" s="116">
        <f t="shared" si="497"/>
        <v>150</v>
      </c>
    </row>
    <row r="193" spans="1:122" s="28" customFormat="1" ht="15" customHeight="1" thickBot="1" x14ac:dyDescent="0.2">
      <c r="A193" s="417"/>
      <c r="B193" s="18">
        <v>49188</v>
      </c>
      <c r="C193" s="208">
        <f>'PV-Felder'!$I$10</f>
        <v>2246.7000000000003</v>
      </c>
      <c r="D193" s="352"/>
      <c r="E193" s="63">
        <v>0</v>
      </c>
      <c r="F193" s="352"/>
      <c r="G193" s="57" t="e">
        <f t="shared" ca="1" si="339"/>
        <v>#N/A</v>
      </c>
      <c r="H193" s="352"/>
      <c r="I193" s="63">
        <v>0</v>
      </c>
      <c r="J193" s="352"/>
      <c r="K193" s="63">
        <v>0</v>
      </c>
      <c r="L193" s="352"/>
      <c r="M193" s="67">
        <f t="shared" si="358"/>
        <v>0</v>
      </c>
      <c r="N193" s="374"/>
      <c r="O193" s="290"/>
      <c r="P193" s="290"/>
      <c r="Q193" s="289">
        <f t="shared" si="340"/>
        <v>0</v>
      </c>
      <c r="R193" s="334"/>
      <c r="S193" s="63">
        <v>0</v>
      </c>
      <c r="T193" s="377"/>
      <c r="U193" s="63">
        <v>0</v>
      </c>
      <c r="V193" s="343"/>
      <c r="W193" s="63">
        <v>0</v>
      </c>
      <c r="X193" s="343"/>
      <c r="Y193" s="213" t="e">
        <f t="shared" si="444"/>
        <v>#N/A</v>
      </c>
      <c r="Z193" s="371"/>
      <c r="AA193" s="63">
        <v>0</v>
      </c>
      <c r="AB193" s="352"/>
      <c r="AC193" s="63">
        <v>0</v>
      </c>
      <c r="AD193" s="352"/>
      <c r="AE193" s="75" t="e">
        <f t="shared" si="472"/>
        <v>#N/A</v>
      </c>
      <c r="AF193" s="357"/>
      <c r="AG193" s="75" t="e">
        <f t="shared" si="473"/>
        <v>#N/A</v>
      </c>
      <c r="AH193" s="357"/>
      <c r="AI193" s="223">
        <f>AI192</f>
        <v>29.26</v>
      </c>
      <c r="AJ193" s="83">
        <f t="shared" ref="AJ193:AP193" si="508">AJ192</f>
        <v>0.26750000000000002</v>
      </c>
      <c r="AK193" s="21">
        <f t="shared" si="508"/>
        <v>9.9166666666666661</v>
      </c>
      <c r="AL193" s="84">
        <f t="shared" si="508"/>
        <v>187</v>
      </c>
      <c r="AM193" s="83">
        <f t="shared" si="508"/>
        <v>9.737942583732058E-2</v>
      </c>
      <c r="AN193" s="84">
        <f t="shared" si="508"/>
        <v>143</v>
      </c>
      <c r="AO193" s="83">
        <f t="shared" si="508"/>
        <v>0.21099999999999999</v>
      </c>
      <c r="AP193" s="90">
        <f t="shared" si="508"/>
        <v>12</v>
      </c>
      <c r="AQ193" s="125">
        <f t="shared" si="364"/>
        <v>21.5</v>
      </c>
      <c r="AR193" s="125">
        <f t="shared" si="365"/>
        <v>11.5</v>
      </c>
      <c r="AS193" s="92">
        <f t="shared" si="366"/>
        <v>1.1830000000000001</v>
      </c>
      <c r="AT193" s="92">
        <f t="shared" si="420"/>
        <v>283</v>
      </c>
      <c r="AU193" s="98"/>
      <c r="AV193" s="99"/>
      <c r="AW193" s="57">
        <f t="shared" si="342"/>
        <v>0</v>
      </c>
      <c r="AX193" s="352"/>
      <c r="AY193" s="102">
        <f t="shared" si="371"/>
        <v>9.9166666666666661</v>
      </c>
      <c r="AZ193" s="361"/>
      <c r="BA193" s="92">
        <f t="shared" si="485"/>
        <v>-1829.2792136666712</v>
      </c>
      <c r="BB193" s="22">
        <f t="shared" si="475"/>
        <v>-9.9166666666666661</v>
      </c>
      <c r="BC193" s="364"/>
      <c r="BD193" s="92" t="e">
        <f t="shared" ca="1" si="343"/>
        <v>#N/A</v>
      </c>
      <c r="BE193" s="92" t="e">
        <f t="shared" ca="1" si="344"/>
        <v>#N/A</v>
      </c>
      <c r="BF193" s="92">
        <f t="shared" si="345"/>
        <v>31.833333333333329</v>
      </c>
      <c r="BG193" s="92" t="e">
        <f t="shared" ca="1" si="346"/>
        <v>#N/A</v>
      </c>
      <c r="BH193" s="92" t="e">
        <f t="shared" ca="1" si="392"/>
        <v>#N/A</v>
      </c>
      <c r="BI193" s="24" t="e">
        <f t="shared" ca="1" si="360"/>
        <v>#N/A</v>
      </c>
      <c r="BJ193" s="106">
        <f>((M193+Q193)*AJ193+AK193)+((U193-W193+W193/('Vergleich Holz Strom'!$B$8-0.6))*AO193+AP193)</f>
        <v>21.916666666666664</v>
      </c>
      <c r="BK193" s="24" t="e">
        <f t="shared" ca="1" si="476"/>
        <v>#N/A</v>
      </c>
      <c r="BL193" s="380"/>
      <c r="BM193" s="106" t="e">
        <f t="shared" ca="1" si="356"/>
        <v>#N/A</v>
      </c>
      <c r="BN193" s="226" t="e">
        <f ca="1">IF(ISNUMBER(BK193),BN192+SUMIF(BK182:BK193,"&lt;&gt;#NV",BK182:BK193)/COUNTIF(BK182:BK193,"&lt;&gt;#NV"),#N/A)</f>
        <v>#N/A</v>
      </c>
      <c r="BO193" s="318" t="e">
        <f t="shared" ca="1" si="507"/>
        <v>#N/A</v>
      </c>
      <c r="BP193" s="106" t="e">
        <f t="shared" ca="1" si="477"/>
        <v>#N/A</v>
      </c>
      <c r="BQ193" s="106">
        <f t="shared" ca="1" si="500"/>
        <v>-59731.10551402712</v>
      </c>
      <c r="BR193" s="24">
        <f t="shared" si="347"/>
        <v>9.9166666666666661</v>
      </c>
      <c r="BS193" s="312"/>
      <c r="BT193" s="308"/>
      <c r="BU193" s="296">
        <f t="shared" si="348"/>
        <v>0</v>
      </c>
      <c r="BV193" s="324"/>
      <c r="BW193" s="292">
        <f t="shared" si="349"/>
        <v>0</v>
      </c>
      <c r="BX193" s="295">
        <f t="shared" si="350"/>
        <v>0</v>
      </c>
      <c r="BY193" s="382"/>
      <c r="BZ193" s="299">
        <f t="shared" si="357"/>
        <v>0</v>
      </c>
      <c r="CA193" s="296">
        <f t="shared" si="362"/>
        <v>0</v>
      </c>
      <c r="CB193" s="324"/>
      <c r="CC193" s="315">
        <f t="shared" si="495"/>
        <v>0</v>
      </c>
      <c r="CD193" s="327"/>
      <c r="CE193" s="292">
        <f t="shared" si="351"/>
        <v>0</v>
      </c>
      <c r="CF193" s="296">
        <f t="shared" si="496"/>
        <v>0</v>
      </c>
      <c r="CG193" s="324"/>
      <c r="CH193" s="303">
        <f t="shared" si="389"/>
        <v>0</v>
      </c>
      <c r="CI193" s="110">
        <f t="shared" si="352"/>
        <v>0</v>
      </c>
      <c r="CJ193" s="200">
        <f t="shared" si="353"/>
        <v>0</v>
      </c>
      <c r="CK193" s="25">
        <f t="shared" si="369"/>
        <v>0</v>
      </c>
      <c r="CL193" s="204">
        <f t="shared" si="354"/>
        <v>12</v>
      </c>
      <c r="CM193" s="26">
        <f>U193*Jahresdaten!$AD$2</f>
        <v>0</v>
      </c>
      <c r="CN193" s="114">
        <f>CJ193*Jahresdaten!$AD$2</f>
        <v>0</v>
      </c>
      <c r="CO193" s="346"/>
      <c r="CP193" s="118">
        <f>U193*Jahresdaten!$AD$3</f>
        <v>0</v>
      </c>
      <c r="CQ193" s="25">
        <f>CJ193*Jahresdaten!$AD$3</f>
        <v>0</v>
      </c>
      <c r="CR193" s="354"/>
      <c r="CS193" s="23"/>
      <c r="CT193" s="138"/>
      <c r="CU193" s="141" t="str">
        <f>IF(CT193=0,"",CT193*'Vergleich Holz Strom'!$B$2)</f>
        <v/>
      </c>
      <c r="CV193" s="354"/>
      <c r="CW193" s="346"/>
      <c r="CX193" s="346"/>
      <c r="CY193" s="346"/>
      <c r="CZ193" s="346"/>
      <c r="DA193" s="349"/>
      <c r="DB193" s="98"/>
      <c r="DC193" s="90">
        <f t="shared" si="453"/>
        <v>31892.511333333248</v>
      </c>
      <c r="DD193" s="98"/>
      <c r="DE193" s="90">
        <f t="shared" si="465"/>
        <v>-24849.112547000001</v>
      </c>
      <c r="DF193" s="102" t="e">
        <f ca="1">BE193+(SUM(CS182:CS193)/12)</f>
        <v>#N/A</v>
      </c>
      <c r="DG193" s="352"/>
      <c r="DH193" s="19">
        <f t="shared" si="486"/>
        <v>0</v>
      </c>
      <c r="DI193" s="125">
        <f t="shared" si="478"/>
        <v>20800</v>
      </c>
      <c r="DJ193" s="20">
        <f t="shared" si="487"/>
        <v>0</v>
      </c>
      <c r="DK193" s="129">
        <f>DK181</f>
        <v>7800</v>
      </c>
      <c r="DL193" s="20">
        <f t="shared" si="488"/>
        <v>650</v>
      </c>
      <c r="DM193" s="132">
        <f t="shared" si="489"/>
        <v>0</v>
      </c>
      <c r="DN193" s="27">
        <f>DN181</f>
        <v>3000</v>
      </c>
      <c r="DO193" s="132">
        <f t="shared" si="490"/>
        <v>250</v>
      </c>
      <c r="DP193" s="26">
        <f t="shared" si="491"/>
        <v>0</v>
      </c>
      <c r="DQ193" s="118">
        <f>DQ181</f>
        <v>10000</v>
      </c>
      <c r="DR193" s="118">
        <f>DR181</f>
        <v>600</v>
      </c>
    </row>
    <row r="194" spans="1:122" ht="15" customHeight="1" thickBot="1" x14ac:dyDescent="0.2">
      <c r="A194" s="415" t="s">
        <v>174</v>
      </c>
      <c r="B194" s="16">
        <v>49218</v>
      </c>
      <c r="C194" s="207">
        <f>'PV-Felder'!$I$11</f>
        <v>1416.7</v>
      </c>
      <c r="D194" s="358">
        <f>SUMIF(E194:E205,"&gt;0",C194:C205)</f>
        <v>0</v>
      </c>
      <c r="E194" s="61">
        <v>0</v>
      </c>
      <c r="F194" s="368">
        <f>SUM(E194:E205)</f>
        <v>0</v>
      </c>
      <c r="G194" s="58" t="e">
        <f t="shared" ref="G194:G257" ca="1" si="509">IF(TODAY()&lt;B195,IF(E194&gt;0,E194-C194,#N/A),E194-C194)</f>
        <v>#N/A</v>
      </c>
      <c r="H194" s="358" t="e">
        <f ca="1">IF(TODAY()&lt;B194,#N/A,F194-D194)</f>
        <v>#N/A</v>
      </c>
      <c r="I194" s="61">
        <v>0</v>
      </c>
      <c r="J194" s="368">
        <f>SUM(I194:I205)</f>
        <v>0</v>
      </c>
      <c r="K194" s="61">
        <v>0</v>
      </c>
      <c r="L194" s="368">
        <f>SUM(K194:K205)</f>
        <v>0</v>
      </c>
      <c r="M194" s="66">
        <f t="shared" si="358"/>
        <v>0</v>
      </c>
      <c r="N194" s="372">
        <f>SUM(M194:M205)</f>
        <v>0</v>
      </c>
      <c r="Q194" s="287">
        <f t="shared" ref="Q194:Q257" si="510">O194-P194</f>
        <v>0</v>
      </c>
      <c r="R194" s="333">
        <f>SUM(Q194:Q205)</f>
        <v>0</v>
      </c>
      <c r="S194" s="61">
        <v>0</v>
      </c>
      <c r="T194" s="375">
        <f>SUM(S194:S205)</f>
        <v>0</v>
      </c>
      <c r="U194" s="61">
        <v>0</v>
      </c>
      <c r="V194" s="341">
        <f>SUM(U194:U205)</f>
        <v>0</v>
      </c>
      <c r="W194" s="61">
        <v>0</v>
      </c>
      <c r="X194" s="341">
        <f>SUM(W194:W205)</f>
        <v>0</v>
      </c>
      <c r="Y194" s="211" t="e">
        <f t="shared" si="444"/>
        <v>#N/A</v>
      </c>
      <c r="Z194" s="369">
        <f>N194+T194+V194</f>
        <v>0</v>
      </c>
      <c r="AA194" s="62">
        <v>0</v>
      </c>
      <c r="AB194" s="368">
        <f>SUM(AA194:AA205)</f>
        <v>0</v>
      </c>
      <c r="AC194" s="62">
        <v>0</v>
      </c>
      <c r="AD194" s="368">
        <f>SUM(AC194:AC205)</f>
        <v>0</v>
      </c>
      <c r="AE194" s="74" t="e">
        <f t="shared" si="472"/>
        <v>#N/A</v>
      </c>
      <c r="AF194" s="355" t="e">
        <f>IF(SUMIF(AE194:AE205,"&gt;0")&gt;0,SUMIF(AE194:AE205,"&gt;0")/COUNTIF(AE194:AE205,"&gt;0"),#N/A)</f>
        <v>#N/A</v>
      </c>
      <c r="AG194" s="73" t="e">
        <f t="shared" si="473"/>
        <v>#N/A</v>
      </c>
      <c r="AH194" s="355" t="e">
        <f>IF(SUMIF(AG194:AG205,"&gt;0")&gt;0,SUMIF(AG194:AG205,"&gt;0")/COUNTIF(AG194:AG205,"&gt;0"),#N/A)</f>
        <v>#N/A</v>
      </c>
      <c r="AI194" s="222">
        <f>AI193</f>
        <v>29.26</v>
      </c>
      <c r="AJ194" s="78">
        <f t="shared" ref="AJ194:AP194" si="511">AJ193</f>
        <v>0.26750000000000002</v>
      </c>
      <c r="AK194" s="79">
        <f t="shared" si="511"/>
        <v>9.9166666666666661</v>
      </c>
      <c r="AL194" s="80">
        <f t="shared" si="511"/>
        <v>187</v>
      </c>
      <c r="AM194" s="78">
        <f t="shared" si="511"/>
        <v>9.737942583732058E-2</v>
      </c>
      <c r="AN194" s="80">
        <f t="shared" si="511"/>
        <v>143</v>
      </c>
      <c r="AO194" s="78">
        <f t="shared" si="511"/>
        <v>0.21099999999999999</v>
      </c>
      <c r="AP194" s="88">
        <f t="shared" si="511"/>
        <v>12</v>
      </c>
      <c r="AQ194" s="64">
        <f t="shared" si="364"/>
        <v>21.5</v>
      </c>
      <c r="AR194" s="64">
        <f t="shared" si="365"/>
        <v>11.5</v>
      </c>
      <c r="AS194" s="88">
        <f t="shared" si="366"/>
        <v>1.1830000000000001</v>
      </c>
      <c r="AT194" s="91">
        <f t="shared" si="420"/>
        <v>283</v>
      </c>
      <c r="AU194" s="94"/>
      <c r="AV194" s="95"/>
      <c r="AW194" s="56">
        <f t="shared" ref="AW194:AW257" si="512">AC194-AA194</f>
        <v>0</v>
      </c>
      <c r="AX194" s="358">
        <f>SUM(AW194:AW205)</f>
        <v>0</v>
      </c>
      <c r="AY194" s="100">
        <f t="shared" si="371"/>
        <v>9.9166666666666661</v>
      </c>
      <c r="AZ194" s="359">
        <f>SUM(AY194:AY205)</f>
        <v>119.00000000000001</v>
      </c>
      <c r="BA194" s="103">
        <f>BA193-AY194</f>
        <v>-1839.195880333338</v>
      </c>
      <c r="BB194" s="5">
        <f t="shared" si="475"/>
        <v>-9.9166666666666661</v>
      </c>
      <c r="BC194" s="362">
        <f>SUM(AY194:AY205)/12</f>
        <v>9.9166666666666679</v>
      </c>
      <c r="BD194" s="91" t="e">
        <f t="shared" ref="BD194:BD257" ca="1" si="513">IF(TODAY()&lt;B195,IF(E194&gt;0,AY194+AU194,#N/A),AY194+AU194)</f>
        <v>#N/A</v>
      </c>
      <c r="BE194" s="91" t="e">
        <f t="shared" ref="BE194:BE257" ca="1" si="514">IF(TODAY()&lt;B195,IF(E194&gt;0,BD194+AT194,#N/A),BD194+AT194)</f>
        <v>#N/A</v>
      </c>
      <c r="BF194" s="91">
        <f t="shared" ref="BF194:BF257" si="515">(M194*AJ194+AK194)+(U194*AO194+AP194)+(S194*AJ194+AK194)</f>
        <v>31.833333333333329</v>
      </c>
      <c r="BG194" s="91" t="e">
        <f t="shared" ref="BG194:BG257" ca="1" si="516">BF194-BD194</f>
        <v>#N/A</v>
      </c>
      <c r="BH194" s="91" t="e">
        <f t="shared" ca="1" si="392"/>
        <v>#N/A</v>
      </c>
      <c r="BI194" s="10" t="e">
        <f t="shared" ca="1" si="360"/>
        <v>#N/A</v>
      </c>
      <c r="BJ194" s="104">
        <f>((M194+Q194)*AJ194+AK194)+((U194-W194+W194/('Vergleich Holz Strom'!$B$8-0.6))*AO194+AP194)</f>
        <v>21.916666666666664</v>
      </c>
      <c r="BK194" s="10" t="e">
        <f t="shared" ca="1" si="476"/>
        <v>#N/A</v>
      </c>
      <c r="BL194" s="378">
        <f ca="1">SUMIF(BK194:BK205,"&lt;&gt;#NV",BK194:BK205)</f>
        <v>0</v>
      </c>
      <c r="BM194" s="104" t="e">
        <f t="shared" ca="1" si="356"/>
        <v>#N/A</v>
      </c>
      <c r="BN194" s="40" t="e">
        <f ca="1">IF(ISNUMBER(BK194),BN193+SUMIF(BK194:BK205,"&lt;&gt;#NV",BK194:BK205)/COUNTIF(BK194:BK205,"&lt;&gt;#NV"),#N/A)</f>
        <v>#N/A</v>
      </c>
      <c r="BO194" s="10" t="e">
        <f t="shared" ca="1" si="507"/>
        <v>#N/A</v>
      </c>
      <c r="BP194" s="105" t="e">
        <f t="shared" ca="1" si="477"/>
        <v>#N/A</v>
      </c>
      <c r="BQ194" s="104">
        <f t="shared" ca="1" si="500"/>
        <v>-59719.10551402712</v>
      </c>
      <c r="BR194" s="10">
        <f t="shared" ref="BR194:BR257" si="517">M194*AJ194+AK194</f>
        <v>9.9166666666666661</v>
      </c>
      <c r="BS194" s="311"/>
      <c r="BT194" s="307"/>
      <c r="BU194" s="295">
        <f t="shared" ref="BU194:BU257" si="518">Q194*AM194</f>
        <v>0</v>
      </c>
      <c r="BV194" s="322">
        <f>SUM(BU194:BU205)</f>
        <v>0</v>
      </c>
      <c r="BW194" s="300">
        <f t="shared" ref="BW194:BW257" si="519">Q194*AJ194</f>
        <v>0</v>
      </c>
      <c r="BX194" s="305">
        <f t="shared" ref="BX194:BX257" si="520">BW194-BU194</f>
        <v>0</v>
      </c>
      <c r="BY194" s="381">
        <f>SUM(BX194:BX205)</f>
        <v>0</v>
      </c>
      <c r="BZ194" s="300">
        <f t="shared" si="357"/>
        <v>0</v>
      </c>
      <c r="CA194" s="295">
        <f t="shared" si="362"/>
        <v>0</v>
      </c>
      <c r="CB194" s="322">
        <f>SUM(CA194:CA205)</f>
        <v>0</v>
      </c>
      <c r="CC194" s="314">
        <f t="shared" si="495"/>
        <v>0</v>
      </c>
      <c r="CD194" s="325">
        <f>SUM(CC194:CC205)</f>
        <v>0</v>
      </c>
      <c r="CE194" s="299">
        <f t="shared" ref="CE194:CE257" si="521">CC194/AR194*AS194</f>
        <v>0</v>
      </c>
      <c r="CF194" s="284">
        <f t="shared" si="496"/>
        <v>0</v>
      </c>
      <c r="CG194" s="328">
        <f>SUM(CF194:CF205)</f>
        <v>0</v>
      </c>
      <c r="CH194" s="302">
        <f t="shared" si="389"/>
        <v>0</v>
      </c>
      <c r="CI194" s="108">
        <f t="shared" ref="CI194:CI257" si="522">(S194*AJ194)</f>
        <v>0</v>
      </c>
      <c r="CJ194" s="201">
        <f t="shared" ref="CJ194:CJ257" si="523">((U194-W194)*AJ194)+(W194*AM194)</f>
        <v>0</v>
      </c>
      <c r="CK194" s="197">
        <f t="shared" si="369"/>
        <v>0</v>
      </c>
      <c r="CL194" s="203">
        <f t="shared" ref="CL194:CL257" si="524">U194*AO194+AP194</f>
        <v>12</v>
      </c>
      <c r="CM194" s="4">
        <f>U194*Jahresdaten!$AD$2</f>
        <v>0</v>
      </c>
      <c r="CN194" s="112">
        <f>CJ194*Jahresdaten!$AD$2</f>
        <v>0</v>
      </c>
      <c r="CO194" s="365">
        <f>CW194*Jahresdaten!$AD$2</f>
        <v>856.59076092206669</v>
      </c>
      <c r="CP194" s="116">
        <f>U194*Jahresdaten!$AD$3</f>
        <v>0</v>
      </c>
      <c r="CQ194" s="12">
        <f>CJ194*Jahresdaten!$AD$3</f>
        <v>0</v>
      </c>
      <c r="CR194" s="367">
        <f>CW194*Jahresdaten!$AD$3</f>
        <v>312.40923907793319</v>
      </c>
      <c r="CS194" s="14">
        <f>CS182</f>
        <v>1169</v>
      </c>
      <c r="CT194" s="136">
        <f>CT182</f>
        <v>12</v>
      </c>
      <c r="CU194" s="140">
        <f>IF(CT194=0,"",CT194*'Vergleich Holz Strom'!$B$2)</f>
        <v>25800</v>
      </c>
      <c r="CV194" s="120" t="s">
        <v>7</v>
      </c>
      <c r="CW194" s="365">
        <f>CV195+CV201</f>
        <v>1169</v>
      </c>
      <c r="CX194" s="344">
        <f>SUM(CS194:CS205)/SUM(CU194:CU205)*(SUM(CU194:CU205)+(V194*('Vergleich Holz Strom'!$B$8-0.6)/'Vergleich Holz Strom'!$E$6))</f>
        <v>1169</v>
      </c>
      <c r="CY194" s="344">
        <f>SUM(CU194:CU205)*'Vergleich Holz Strom'!$E$6/('Vergleich Holz Strom'!$B$8-0.6)*(SUM(AJ194:AJ205)/12)+CV195</f>
        <v>1420.8970588235295</v>
      </c>
      <c r="CZ194" s="344">
        <f>SUM(CU194:CU205)*'Vergleich Holz Strom'!$E$6/('Vergleich Holz Strom'!$B$8-0.6)*SUM(AM194:AM205)/12+SUM(CK194:CK205)</f>
        <v>517.25659724176774</v>
      </c>
      <c r="DA194" s="347">
        <f>SUM(CU194:CU205)*'Vergleich Holz Strom'!$E$6/('Vergleich Holz Strom'!$B$8-0.6)*(SUM(AO194:AO205)/12)+SUM(CL194:CL205)</f>
        <v>1264.7823529411764</v>
      </c>
      <c r="DB194" s="94"/>
      <c r="DC194" s="88">
        <f t="shared" si="453"/>
        <v>32069.59466666658</v>
      </c>
      <c r="DD194" s="94"/>
      <c r="DE194" s="88">
        <f t="shared" si="465"/>
        <v>-24992.112547000001</v>
      </c>
      <c r="DF194" s="100" t="e">
        <f ca="1">BE194+(SUM(CS194:CS205)/12)</f>
        <v>#N/A</v>
      </c>
      <c r="DG194" s="350">
        <f ca="1">SUMIF(DF194:DF205,"&gt;0")</f>
        <v>0</v>
      </c>
      <c r="DH194" s="8">
        <f>M194+S194+U194</f>
        <v>0</v>
      </c>
      <c r="DI194" s="123">
        <f t="shared" si="478"/>
        <v>1850</v>
      </c>
      <c r="DJ194" s="2">
        <f>M194</f>
        <v>0</v>
      </c>
      <c r="DK194" s="127">
        <f>DK205/12*1</f>
        <v>650</v>
      </c>
      <c r="DL194" s="2">
        <f>DL193</f>
        <v>650</v>
      </c>
      <c r="DM194" s="130">
        <f>S194</f>
        <v>0</v>
      </c>
      <c r="DN194" s="3">
        <f>DN205/12*1</f>
        <v>250</v>
      </c>
      <c r="DO194" s="130">
        <f>DO193</f>
        <v>250</v>
      </c>
      <c r="DP194" s="4">
        <f>U194</f>
        <v>0</v>
      </c>
      <c r="DQ194" s="116">
        <f>DR194</f>
        <v>950</v>
      </c>
      <c r="DR194" s="116">
        <f>DR182</f>
        <v>950</v>
      </c>
    </row>
    <row r="195" spans="1:122" ht="14.25" customHeight="1" thickBot="1" x14ac:dyDescent="0.2">
      <c r="A195" s="416"/>
      <c r="B195" s="16">
        <v>49249</v>
      </c>
      <c r="C195" s="207">
        <f>'PV-Felder'!$I$12</f>
        <v>739.6</v>
      </c>
      <c r="D195" s="351"/>
      <c r="E195" s="61">
        <v>0</v>
      </c>
      <c r="F195" s="351"/>
      <c r="G195" s="56" t="e">
        <f t="shared" ca="1" si="509"/>
        <v>#N/A</v>
      </c>
      <c r="H195" s="351"/>
      <c r="I195" s="61">
        <v>0</v>
      </c>
      <c r="J195" s="351"/>
      <c r="K195" s="61">
        <v>0</v>
      </c>
      <c r="L195" s="351"/>
      <c r="M195" s="65">
        <f t="shared" si="358"/>
        <v>0</v>
      </c>
      <c r="N195" s="373"/>
      <c r="O195" s="288"/>
      <c r="P195" s="288"/>
      <c r="Q195" s="286">
        <f t="shared" si="510"/>
        <v>0</v>
      </c>
      <c r="R195" s="334"/>
      <c r="S195" s="61">
        <v>0</v>
      </c>
      <c r="T195" s="376"/>
      <c r="U195" s="61">
        <v>0</v>
      </c>
      <c r="V195" s="342"/>
      <c r="W195" s="61">
        <v>0</v>
      </c>
      <c r="X195" s="342"/>
      <c r="Y195" s="211" t="e">
        <f t="shared" si="444"/>
        <v>#N/A</v>
      </c>
      <c r="Z195" s="370"/>
      <c r="AA195" s="61">
        <v>0</v>
      </c>
      <c r="AB195" s="351"/>
      <c r="AC195" s="61">
        <v>0</v>
      </c>
      <c r="AD195" s="351"/>
      <c r="AE195" s="73" t="e">
        <f t="shared" si="472"/>
        <v>#N/A</v>
      </c>
      <c r="AF195" s="356"/>
      <c r="AG195" s="73" t="e">
        <f t="shared" si="473"/>
        <v>#N/A</v>
      </c>
      <c r="AH195" s="356"/>
      <c r="AI195" s="221">
        <f>AI194</f>
        <v>29.26</v>
      </c>
      <c r="AJ195" s="78">
        <f t="shared" ref="AJ195:AN195" si="525">AJ194</f>
        <v>0.26750000000000002</v>
      </c>
      <c r="AK195" s="79">
        <f t="shared" si="525"/>
        <v>9.9166666666666661</v>
      </c>
      <c r="AL195" s="80">
        <f t="shared" si="525"/>
        <v>187</v>
      </c>
      <c r="AM195" s="78">
        <f t="shared" si="525"/>
        <v>9.737942583732058E-2</v>
      </c>
      <c r="AN195" s="80">
        <f t="shared" si="525"/>
        <v>143</v>
      </c>
      <c r="AO195" s="78">
        <f>AO194</f>
        <v>0.21099999999999999</v>
      </c>
      <c r="AP195" s="88">
        <f>AP194</f>
        <v>12</v>
      </c>
      <c r="AQ195" s="64">
        <f t="shared" si="364"/>
        <v>21.5</v>
      </c>
      <c r="AR195" s="64">
        <f t="shared" si="365"/>
        <v>11.5</v>
      </c>
      <c r="AS195" s="88">
        <f t="shared" si="366"/>
        <v>1.1830000000000001</v>
      </c>
      <c r="AT195" s="91">
        <f t="shared" si="420"/>
        <v>283</v>
      </c>
      <c r="AU195" s="94"/>
      <c r="AV195" s="95"/>
      <c r="AW195" s="56">
        <f t="shared" si="512"/>
        <v>0</v>
      </c>
      <c r="AX195" s="351"/>
      <c r="AY195" s="100">
        <f t="shared" si="371"/>
        <v>9.9166666666666661</v>
      </c>
      <c r="AZ195" s="360"/>
      <c r="BA195" s="91">
        <f t="shared" ref="BA195:BA205" si="526">BA194-AY195</f>
        <v>-1849.1125470000047</v>
      </c>
      <c r="BB195" s="5">
        <f t="shared" si="475"/>
        <v>-9.9166666666666661</v>
      </c>
      <c r="BC195" s="363"/>
      <c r="BD195" s="91" t="e">
        <f t="shared" ca="1" si="513"/>
        <v>#N/A</v>
      </c>
      <c r="BE195" s="91" t="e">
        <f t="shared" ca="1" si="514"/>
        <v>#N/A</v>
      </c>
      <c r="BF195" s="91">
        <f t="shared" si="515"/>
        <v>31.833333333333329</v>
      </c>
      <c r="BG195" s="91" t="e">
        <f t="shared" ca="1" si="516"/>
        <v>#N/A</v>
      </c>
      <c r="BH195" s="91" t="e">
        <f t="shared" ca="1" si="392"/>
        <v>#N/A</v>
      </c>
      <c r="BI195" s="10" t="e">
        <f t="shared" ca="1" si="360"/>
        <v>#N/A</v>
      </c>
      <c r="BJ195" s="104">
        <f>((M195+Q195)*AJ195+AK195)+((U195-W195+W195/('Vergleich Holz Strom'!$B$8-0.6))*AO195+AP195)</f>
        <v>21.916666666666664</v>
      </c>
      <c r="BK195" s="10" t="e">
        <f t="shared" ca="1" si="476"/>
        <v>#N/A</v>
      </c>
      <c r="BL195" s="379"/>
      <c r="BM195" s="104" t="e">
        <f t="shared" ref="BM195:BM258" ca="1" si="527">BM194+BK195</f>
        <v>#N/A</v>
      </c>
      <c r="BN195" s="40" t="e">
        <f ca="1">IF(ISNUMBER(BK195),BN194+SUMIF(BK194:BK205,"&lt;&gt;#NV",BK194:BK205)/COUNTIF(BK194:BK205,"&lt;&gt;#NV"),#N/A)</f>
        <v>#N/A</v>
      </c>
      <c r="BO195" s="10" t="e">
        <f t="shared" ca="1" si="507"/>
        <v>#N/A</v>
      </c>
      <c r="BP195" s="104" t="e">
        <f t="shared" ca="1" si="477"/>
        <v>#N/A</v>
      </c>
      <c r="BQ195" s="104">
        <f t="shared" ca="1" si="500"/>
        <v>-59707.10551402712</v>
      </c>
      <c r="BR195" s="10">
        <f t="shared" si="517"/>
        <v>9.9166666666666661</v>
      </c>
      <c r="BS195" s="311"/>
      <c r="BT195" s="307"/>
      <c r="BU195" s="295">
        <f t="shared" si="518"/>
        <v>0</v>
      </c>
      <c r="BV195" s="323"/>
      <c r="BW195" s="299">
        <f t="shared" si="519"/>
        <v>0</v>
      </c>
      <c r="BX195" s="295">
        <f t="shared" si="520"/>
        <v>0</v>
      </c>
      <c r="BY195" s="382"/>
      <c r="BZ195" s="299">
        <f t="shared" ref="BZ195:BZ258" si="528">BZ194+BX195</f>
        <v>0</v>
      </c>
      <c r="CA195" s="295">
        <f t="shared" si="362"/>
        <v>0</v>
      </c>
      <c r="CB195" s="323"/>
      <c r="CC195" s="314">
        <f>Q195/AQ195*100+BS195/AQ195*100</f>
        <v>0</v>
      </c>
      <c r="CD195" s="326"/>
      <c r="CE195" s="299">
        <f t="shared" si="521"/>
        <v>0</v>
      </c>
      <c r="CF195" s="284">
        <f>CE195-CA195</f>
        <v>0</v>
      </c>
      <c r="CG195" s="323"/>
      <c r="CH195" s="302">
        <f t="shared" si="389"/>
        <v>0</v>
      </c>
      <c r="CI195" s="108">
        <f t="shared" si="522"/>
        <v>0</v>
      </c>
      <c r="CJ195" s="200">
        <f t="shared" si="523"/>
        <v>0</v>
      </c>
      <c r="CK195" s="197">
        <f t="shared" si="369"/>
        <v>0</v>
      </c>
      <c r="CL195" s="203">
        <f t="shared" si="524"/>
        <v>12</v>
      </c>
      <c r="CM195" s="4">
        <f>U195*Jahresdaten!$AD$2</f>
        <v>0</v>
      </c>
      <c r="CN195" s="112">
        <f>CJ195*Jahresdaten!$AD$2</f>
        <v>0</v>
      </c>
      <c r="CO195" s="366"/>
      <c r="CP195" s="116">
        <f>U195*Jahresdaten!$AD$3</f>
        <v>0</v>
      </c>
      <c r="CQ195" s="12">
        <f>CJ195*Jahresdaten!$AD$3</f>
        <v>0</v>
      </c>
      <c r="CR195" s="353"/>
      <c r="CS195" s="14"/>
      <c r="CT195" s="136"/>
      <c r="CU195" s="140" t="str">
        <f>IF(CT195=0,"",CT195*'Vergleich Holz Strom'!$B$2)</f>
        <v/>
      </c>
      <c r="CV195" s="353">
        <f>SUM(CJ194:CJ205)</f>
        <v>0</v>
      </c>
      <c r="CW195" s="366"/>
      <c r="CX195" s="345"/>
      <c r="CY195" s="345"/>
      <c r="CZ195" s="345"/>
      <c r="DA195" s="348"/>
      <c r="DB195" s="94"/>
      <c r="DC195" s="88">
        <f t="shared" si="453"/>
        <v>32246.677999999913</v>
      </c>
      <c r="DD195" s="94"/>
      <c r="DE195" s="88">
        <f t="shared" si="465"/>
        <v>-25135.112547000001</v>
      </c>
      <c r="DF195" s="100" t="e">
        <f ca="1">BE195+(SUM(CS194:CS205)/12)</f>
        <v>#N/A</v>
      </c>
      <c r="DG195" s="351"/>
      <c r="DH195" s="8">
        <f t="shared" ref="DH195:DH205" si="529">DH194+M195+S195+U195</f>
        <v>0</v>
      </c>
      <c r="DI195" s="123">
        <f t="shared" si="478"/>
        <v>3550</v>
      </c>
      <c r="DJ195" s="2">
        <f t="shared" ref="DJ195:DJ205" si="530">DJ194+M195</f>
        <v>0</v>
      </c>
      <c r="DK195" s="127">
        <f>DK205/12*2</f>
        <v>1300</v>
      </c>
      <c r="DL195" s="2">
        <f t="shared" ref="DL195:DL205" si="531">DL194</f>
        <v>650</v>
      </c>
      <c r="DM195" s="130">
        <f t="shared" ref="DM195:DM205" si="532">DM194+S195</f>
        <v>0</v>
      </c>
      <c r="DN195" s="3">
        <f>DN205/12*2</f>
        <v>500</v>
      </c>
      <c r="DO195" s="130">
        <f t="shared" ref="DO195:DO205" si="533">DO194</f>
        <v>250</v>
      </c>
      <c r="DP195" s="4">
        <f t="shared" ref="DP195:DP205" si="534">DP194+U195</f>
        <v>0</v>
      </c>
      <c r="DQ195" s="116">
        <f t="shared" ref="DQ195:DQ204" si="535">DQ194+DR195</f>
        <v>1750</v>
      </c>
      <c r="DR195" s="116">
        <f>DR183</f>
        <v>800</v>
      </c>
    </row>
    <row r="196" spans="1:122" ht="14.25" customHeight="1" thickBot="1" x14ac:dyDescent="0.2">
      <c r="A196" s="416"/>
      <c r="B196" s="16">
        <v>49279</v>
      </c>
      <c r="C196" s="207">
        <f>'PV-Felder'!$I$13</f>
        <v>559.9</v>
      </c>
      <c r="D196" s="351"/>
      <c r="E196" s="61">
        <v>0</v>
      </c>
      <c r="F196" s="351"/>
      <c r="G196" s="56" t="e">
        <f t="shared" ca="1" si="509"/>
        <v>#N/A</v>
      </c>
      <c r="H196" s="351"/>
      <c r="I196" s="61">
        <v>0</v>
      </c>
      <c r="J196" s="351"/>
      <c r="K196" s="61">
        <v>0</v>
      </c>
      <c r="L196" s="351"/>
      <c r="M196" s="65">
        <f t="shared" ref="M196:M259" si="536">(E196+AA196)-((O196-P196)+S196+U196+AC196)</f>
        <v>0</v>
      </c>
      <c r="N196" s="373"/>
      <c r="O196" s="288"/>
      <c r="P196" s="288"/>
      <c r="Q196" s="286">
        <f t="shared" si="510"/>
        <v>0</v>
      </c>
      <c r="R196" s="334"/>
      <c r="S196" s="61">
        <v>0</v>
      </c>
      <c r="T196" s="376"/>
      <c r="U196" s="61">
        <v>0</v>
      </c>
      <c r="V196" s="342"/>
      <c r="W196" s="61">
        <v>0</v>
      </c>
      <c r="X196" s="342"/>
      <c r="Y196" s="211" t="e">
        <f t="shared" si="444"/>
        <v>#N/A</v>
      </c>
      <c r="Z196" s="370"/>
      <c r="AA196" s="61">
        <v>0</v>
      </c>
      <c r="AB196" s="351"/>
      <c r="AC196" s="61">
        <v>0</v>
      </c>
      <c r="AD196" s="351"/>
      <c r="AE196" s="73" t="e">
        <f t="shared" si="472"/>
        <v>#N/A</v>
      </c>
      <c r="AF196" s="356"/>
      <c r="AG196" s="73" t="e">
        <f t="shared" si="473"/>
        <v>#N/A</v>
      </c>
      <c r="AH196" s="356"/>
      <c r="AI196" s="221">
        <f t="shared" ref="AI196:AI204" si="537">AI195</f>
        <v>29.26</v>
      </c>
      <c r="AJ196" s="78">
        <f t="shared" ref="AJ196:AN196" si="538">AJ195</f>
        <v>0.26750000000000002</v>
      </c>
      <c r="AK196" s="79">
        <f t="shared" si="538"/>
        <v>9.9166666666666661</v>
      </c>
      <c r="AL196" s="80">
        <f t="shared" si="538"/>
        <v>187</v>
      </c>
      <c r="AM196" s="78">
        <f t="shared" si="538"/>
        <v>9.737942583732058E-2</v>
      </c>
      <c r="AN196" s="80">
        <f t="shared" si="538"/>
        <v>143</v>
      </c>
      <c r="AO196" s="78">
        <f>AO195</f>
        <v>0.21099999999999999</v>
      </c>
      <c r="AP196" s="88">
        <f>AP195</f>
        <v>12</v>
      </c>
      <c r="AQ196" s="64">
        <f t="shared" si="364"/>
        <v>21.5</v>
      </c>
      <c r="AR196" s="64">
        <f t="shared" si="365"/>
        <v>11.5</v>
      </c>
      <c r="AS196" s="88">
        <f t="shared" si="366"/>
        <v>1.1830000000000001</v>
      </c>
      <c r="AT196" s="91">
        <f t="shared" si="420"/>
        <v>283</v>
      </c>
      <c r="AU196" s="94"/>
      <c r="AV196" s="95"/>
      <c r="AW196" s="56">
        <f t="shared" si="512"/>
        <v>0</v>
      </c>
      <c r="AX196" s="351"/>
      <c r="AY196" s="100">
        <f t="shared" si="371"/>
        <v>9.9166666666666661</v>
      </c>
      <c r="AZ196" s="360"/>
      <c r="BA196" s="91">
        <f t="shared" si="526"/>
        <v>-1859.0292136666715</v>
      </c>
      <c r="BB196" s="5">
        <f t="shared" si="475"/>
        <v>-9.9166666666666661</v>
      </c>
      <c r="BC196" s="363"/>
      <c r="BD196" s="91" t="e">
        <f t="shared" ca="1" si="513"/>
        <v>#N/A</v>
      </c>
      <c r="BE196" s="91" t="e">
        <f t="shared" ca="1" si="514"/>
        <v>#N/A</v>
      </c>
      <c r="BF196" s="91">
        <f t="shared" si="515"/>
        <v>31.833333333333329</v>
      </c>
      <c r="BG196" s="91" t="e">
        <f t="shared" ca="1" si="516"/>
        <v>#N/A</v>
      </c>
      <c r="BH196" s="91" t="e">
        <f t="shared" ca="1" si="392"/>
        <v>#N/A</v>
      </c>
      <c r="BI196" s="10" t="e">
        <f t="shared" ref="BI196:BI259" ca="1" si="539">BE196-(S196*AJ196)</f>
        <v>#N/A</v>
      </c>
      <c r="BJ196" s="104">
        <f>((M196+Q196)*AJ196+AK196)+((U196-W196+W196/('Vergleich Holz Strom'!$B$8-0.6))*AO196+AP196)</f>
        <v>21.916666666666664</v>
      </c>
      <c r="BK196" s="10" t="e">
        <f t="shared" ca="1" si="476"/>
        <v>#N/A</v>
      </c>
      <c r="BL196" s="379"/>
      <c r="BM196" s="104" t="e">
        <f t="shared" ca="1" si="527"/>
        <v>#N/A</v>
      </c>
      <c r="BN196" s="40" t="e">
        <f ca="1">IF(ISNUMBER(BK196),BN195+SUMIF(BK194:BK205,"&lt;&gt;#NV",BK194:BK205)/COUNTIF(BK194:BK205,"&lt;&gt;#NV"),#N/A)</f>
        <v>#N/A</v>
      </c>
      <c r="BO196" s="10" t="e">
        <f t="shared" ca="1" si="507"/>
        <v>#N/A</v>
      </c>
      <c r="BP196" s="104" t="e">
        <f t="shared" ca="1" si="477"/>
        <v>#N/A</v>
      </c>
      <c r="BQ196" s="104">
        <f t="shared" ca="1" si="500"/>
        <v>-59695.10551402712</v>
      </c>
      <c r="BR196" s="10">
        <f t="shared" si="517"/>
        <v>9.9166666666666661</v>
      </c>
      <c r="BS196" s="311"/>
      <c r="BT196" s="307"/>
      <c r="BU196" s="295">
        <f t="shared" si="518"/>
        <v>0</v>
      </c>
      <c r="BV196" s="323"/>
      <c r="BW196" s="299">
        <f t="shared" si="519"/>
        <v>0</v>
      </c>
      <c r="BX196" s="295">
        <f t="shared" si="520"/>
        <v>0</v>
      </c>
      <c r="BY196" s="382"/>
      <c r="BZ196" s="299">
        <f t="shared" si="528"/>
        <v>0</v>
      </c>
      <c r="CA196" s="295">
        <f t="shared" ref="CA196:CA259" si="540">BT196+BU196</f>
        <v>0</v>
      </c>
      <c r="CB196" s="323"/>
      <c r="CC196" s="314">
        <f t="shared" ref="CC196:CC206" si="541">Q196/AQ196*100+BS196/AQ196*100</f>
        <v>0</v>
      </c>
      <c r="CD196" s="326"/>
      <c r="CE196" s="299">
        <f t="shared" si="521"/>
        <v>0</v>
      </c>
      <c r="CF196" s="284">
        <f t="shared" ref="CF196:CF206" si="542">CE196-CA196</f>
        <v>0</v>
      </c>
      <c r="CG196" s="323"/>
      <c r="CH196" s="302">
        <f t="shared" si="389"/>
        <v>0</v>
      </c>
      <c r="CI196" s="108">
        <f t="shared" si="522"/>
        <v>0</v>
      </c>
      <c r="CJ196" s="200">
        <f t="shared" si="523"/>
        <v>0</v>
      </c>
      <c r="CK196" s="197">
        <f t="shared" si="369"/>
        <v>0</v>
      </c>
      <c r="CL196" s="203">
        <f t="shared" si="524"/>
        <v>12</v>
      </c>
      <c r="CM196" s="4">
        <f>U196*Jahresdaten!$AD$2</f>
        <v>0</v>
      </c>
      <c r="CN196" s="112">
        <f>CJ196*Jahresdaten!$AD$2</f>
        <v>0</v>
      </c>
      <c r="CO196" s="366"/>
      <c r="CP196" s="116">
        <f>U196*Jahresdaten!$AD$3</f>
        <v>0</v>
      </c>
      <c r="CQ196" s="12">
        <f>CJ196*Jahresdaten!$AD$3</f>
        <v>0</v>
      </c>
      <c r="CR196" s="353"/>
      <c r="CS196" s="14"/>
      <c r="CT196" s="136"/>
      <c r="CU196" s="140" t="str">
        <f>IF(CT196=0,"",CT196*'Vergleich Holz Strom'!$B$2)</f>
        <v/>
      </c>
      <c r="CV196" s="353"/>
      <c r="CW196" s="366"/>
      <c r="CX196" s="345"/>
      <c r="CY196" s="345"/>
      <c r="CZ196" s="345"/>
      <c r="DA196" s="348"/>
      <c r="DB196" s="94"/>
      <c r="DC196" s="88">
        <f t="shared" si="453"/>
        <v>32423.761333333245</v>
      </c>
      <c r="DD196" s="94"/>
      <c r="DE196" s="88">
        <f t="shared" si="465"/>
        <v>-25278.112547000001</v>
      </c>
      <c r="DF196" s="100" t="e">
        <f ca="1">BE196+(SUM(CS194:CS205)/12)</f>
        <v>#N/A</v>
      </c>
      <c r="DG196" s="351"/>
      <c r="DH196" s="8">
        <f t="shared" si="529"/>
        <v>0</v>
      </c>
      <c r="DI196" s="123">
        <f t="shared" si="478"/>
        <v>5300</v>
      </c>
      <c r="DJ196" s="2">
        <f t="shared" si="530"/>
        <v>0</v>
      </c>
      <c r="DK196" s="127">
        <f>DK205/12*3</f>
        <v>1950</v>
      </c>
      <c r="DL196" s="2">
        <f t="shared" si="531"/>
        <v>650</v>
      </c>
      <c r="DM196" s="130">
        <f t="shared" si="532"/>
        <v>0</v>
      </c>
      <c r="DN196" s="3">
        <f>DN205/12*3</f>
        <v>750</v>
      </c>
      <c r="DO196" s="130">
        <f t="shared" si="533"/>
        <v>250</v>
      </c>
      <c r="DP196" s="4">
        <f t="shared" si="534"/>
        <v>0</v>
      </c>
      <c r="DQ196" s="116">
        <f t="shared" si="535"/>
        <v>2600</v>
      </c>
      <c r="DR196" s="116">
        <f t="shared" ref="DR196:DR204" si="543">DR184</f>
        <v>850.00000000000011</v>
      </c>
    </row>
    <row r="197" spans="1:122" ht="14.25" customHeight="1" thickBot="1" x14ac:dyDescent="0.2">
      <c r="A197" s="416"/>
      <c r="B197" s="16">
        <v>49310</v>
      </c>
      <c r="C197" s="207">
        <f>'PV-Felder'!$I$2</f>
        <v>660.80000000000007</v>
      </c>
      <c r="D197" s="351"/>
      <c r="E197" s="61">
        <v>0</v>
      </c>
      <c r="F197" s="351"/>
      <c r="G197" s="56" t="e">
        <f t="shared" ca="1" si="509"/>
        <v>#N/A</v>
      </c>
      <c r="H197" s="351"/>
      <c r="I197" s="61">
        <v>0</v>
      </c>
      <c r="J197" s="351"/>
      <c r="K197" s="61">
        <v>0</v>
      </c>
      <c r="L197" s="351"/>
      <c r="M197" s="65">
        <f t="shared" si="536"/>
        <v>0</v>
      </c>
      <c r="N197" s="373"/>
      <c r="O197" s="288"/>
      <c r="P197" s="288"/>
      <c r="Q197" s="286">
        <f t="shared" si="510"/>
        <v>0</v>
      </c>
      <c r="R197" s="334"/>
      <c r="S197" s="61">
        <v>0</v>
      </c>
      <c r="T197" s="376"/>
      <c r="U197" s="61">
        <v>0</v>
      </c>
      <c r="V197" s="342"/>
      <c r="W197" s="61">
        <v>0</v>
      </c>
      <c r="X197" s="342"/>
      <c r="Y197" s="211" t="e">
        <f t="shared" si="444"/>
        <v>#N/A</v>
      </c>
      <c r="Z197" s="370"/>
      <c r="AA197" s="61">
        <v>0</v>
      </c>
      <c r="AB197" s="351"/>
      <c r="AC197" s="61">
        <v>0</v>
      </c>
      <c r="AD197" s="351"/>
      <c r="AE197" s="73" t="e">
        <f t="shared" si="472"/>
        <v>#N/A</v>
      </c>
      <c r="AF197" s="356"/>
      <c r="AG197" s="73" t="e">
        <f t="shared" si="473"/>
        <v>#N/A</v>
      </c>
      <c r="AH197" s="356"/>
      <c r="AI197" s="221">
        <f t="shared" si="537"/>
        <v>29.26</v>
      </c>
      <c r="AJ197" s="78">
        <f t="shared" ref="AJ197:AP197" si="544">AJ196</f>
        <v>0.26750000000000002</v>
      </c>
      <c r="AK197" s="79">
        <f t="shared" si="544"/>
        <v>9.9166666666666661</v>
      </c>
      <c r="AL197" s="80">
        <f t="shared" si="544"/>
        <v>187</v>
      </c>
      <c r="AM197" s="78">
        <f t="shared" si="544"/>
        <v>9.737942583732058E-2</v>
      </c>
      <c r="AN197" s="80">
        <f t="shared" si="544"/>
        <v>143</v>
      </c>
      <c r="AO197" s="78">
        <f t="shared" si="544"/>
        <v>0.21099999999999999</v>
      </c>
      <c r="AP197" s="88">
        <f t="shared" si="544"/>
        <v>12</v>
      </c>
      <c r="AQ197" s="64">
        <f t="shared" ref="AQ197:AQ260" si="545">AQ196</f>
        <v>21.5</v>
      </c>
      <c r="AR197" s="64">
        <f t="shared" ref="AR197:AR260" si="546">AR196</f>
        <v>11.5</v>
      </c>
      <c r="AS197" s="88">
        <f t="shared" ref="AS197:AS260" si="547">AS196</f>
        <v>1.1830000000000001</v>
      </c>
      <c r="AT197" s="91">
        <f t="shared" si="420"/>
        <v>283</v>
      </c>
      <c r="AU197" s="94"/>
      <c r="AV197" s="95"/>
      <c r="AW197" s="56">
        <f t="shared" si="512"/>
        <v>0</v>
      </c>
      <c r="AX197" s="351"/>
      <c r="AY197" s="100">
        <f t="shared" si="371"/>
        <v>9.9166666666666661</v>
      </c>
      <c r="AZ197" s="360"/>
      <c r="BA197" s="91">
        <f t="shared" si="526"/>
        <v>-1868.9458803333382</v>
      </c>
      <c r="BB197" s="5">
        <f t="shared" si="475"/>
        <v>-9.9166666666666661</v>
      </c>
      <c r="BC197" s="363"/>
      <c r="BD197" s="91" t="e">
        <f t="shared" ca="1" si="513"/>
        <v>#N/A</v>
      </c>
      <c r="BE197" s="91" t="e">
        <f t="shared" ca="1" si="514"/>
        <v>#N/A</v>
      </c>
      <c r="BF197" s="91">
        <f t="shared" si="515"/>
        <v>31.833333333333329</v>
      </c>
      <c r="BG197" s="91" t="e">
        <f t="shared" ca="1" si="516"/>
        <v>#N/A</v>
      </c>
      <c r="BH197" s="91" t="e">
        <f t="shared" ca="1" si="392"/>
        <v>#N/A</v>
      </c>
      <c r="BI197" s="10" t="e">
        <f t="shared" ca="1" si="539"/>
        <v>#N/A</v>
      </c>
      <c r="BJ197" s="104">
        <f>((M197+Q197)*AJ197+AK197)+((U197-W197+W197/('Vergleich Holz Strom'!$B$8-0.6))*AO197+AP197)</f>
        <v>21.916666666666664</v>
      </c>
      <c r="BK197" s="10" t="e">
        <f t="shared" ca="1" si="476"/>
        <v>#N/A</v>
      </c>
      <c r="BL197" s="379"/>
      <c r="BM197" s="104" t="e">
        <f t="shared" ca="1" si="527"/>
        <v>#N/A</v>
      </c>
      <c r="BN197" s="40" t="e">
        <f ca="1">IF(ISNUMBER(BK197),BN196+SUMIF(BK194:BK205,"&lt;&gt;#NV",BK194:BK205)/COUNTIF(BK194:BK205,"&lt;&gt;#NV"),#N/A)</f>
        <v>#N/A</v>
      </c>
      <c r="BO197" s="10" t="e">
        <f t="shared" ca="1" si="507"/>
        <v>#N/A</v>
      </c>
      <c r="BP197" s="104" t="e">
        <f t="shared" ca="1" si="477"/>
        <v>#N/A</v>
      </c>
      <c r="BQ197" s="104">
        <f t="shared" ca="1" si="500"/>
        <v>-59683.10551402712</v>
      </c>
      <c r="BR197" s="10">
        <f t="shared" si="517"/>
        <v>9.9166666666666661</v>
      </c>
      <c r="BS197" s="311"/>
      <c r="BT197" s="307"/>
      <c r="BU197" s="295">
        <f t="shared" si="518"/>
        <v>0</v>
      </c>
      <c r="BV197" s="323"/>
      <c r="BW197" s="299">
        <f t="shared" si="519"/>
        <v>0</v>
      </c>
      <c r="BX197" s="295">
        <f t="shared" si="520"/>
        <v>0</v>
      </c>
      <c r="BY197" s="382"/>
      <c r="BZ197" s="299">
        <f t="shared" si="528"/>
        <v>0</v>
      </c>
      <c r="CA197" s="295">
        <f t="shared" si="540"/>
        <v>0</v>
      </c>
      <c r="CB197" s="323"/>
      <c r="CC197" s="314">
        <f t="shared" si="541"/>
        <v>0</v>
      </c>
      <c r="CD197" s="326"/>
      <c r="CE197" s="299">
        <f t="shared" si="521"/>
        <v>0</v>
      </c>
      <c r="CF197" s="284">
        <f t="shared" si="542"/>
        <v>0</v>
      </c>
      <c r="CG197" s="323"/>
      <c r="CH197" s="302">
        <f t="shared" si="389"/>
        <v>0</v>
      </c>
      <c r="CI197" s="108">
        <f t="shared" si="522"/>
        <v>0</v>
      </c>
      <c r="CJ197" s="200">
        <f t="shared" si="523"/>
        <v>0</v>
      </c>
      <c r="CK197" s="197">
        <f t="shared" si="369"/>
        <v>0</v>
      </c>
      <c r="CL197" s="203">
        <f t="shared" si="524"/>
        <v>12</v>
      </c>
      <c r="CM197" s="4">
        <f>U197*Jahresdaten!$AD$2</f>
        <v>0</v>
      </c>
      <c r="CN197" s="112">
        <f>CJ197*Jahresdaten!$AD$2</f>
        <v>0</v>
      </c>
      <c r="CO197" s="366"/>
      <c r="CP197" s="116">
        <f>U197*Jahresdaten!$AD$3</f>
        <v>0</v>
      </c>
      <c r="CQ197" s="12">
        <f>CJ197*Jahresdaten!$AD$3</f>
        <v>0</v>
      </c>
      <c r="CR197" s="353"/>
      <c r="CS197" s="14"/>
      <c r="CT197" s="136"/>
      <c r="CU197" s="140" t="str">
        <f>IF(CT197=0,"",CT197*'Vergleich Holz Strom'!$B$2)</f>
        <v/>
      </c>
      <c r="CV197" s="353"/>
      <c r="CW197" s="366"/>
      <c r="CX197" s="345"/>
      <c r="CY197" s="345"/>
      <c r="CZ197" s="345"/>
      <c r="DA197" s="348"/>
      <c r="DB197" s="94"/>
      <c r="DC197" s="88">
        <f t="shared" si="453"/>
        <v>32600.844666666577</v>
      </c>
      <c r="DD197" s="94"/>
      <c r="DE197" s="88">
        <f t="shared" si="465"/>
        <v>-25421.112547000001</v>
      </c>
      <c r="DF197" s="100" t="e">
        <f ca="1">BE197+(SUM(CS194:CS205)/12)</f>
        <v>#N/A</v>
      </c>
      <c r="DG197" s="351"/>
      <c r="DH197" s="8">
        <f t="shared" si="529"/>
        <v>0</v>
      </c>
      <c r="DI197" s="123">
        <f t="shared" si="478"/>
        <v>7350</v>
      </c>
      <c r="DJ197" s="2">
        <f t="shared" si="530"/>
        <v>0</v>
      </c>
      <c r="DK197" s="127">
        <f>DK205/12*4</f>
        <v>2600</v>
      </c>
      <c r="DL197" s="2">
        <f t="shared" si="531"/>
        <v>650</v>
      </c>
      <c r="DM197" s="130">
        <f t="shared" si="532"/>
        <v>0</v>
      </c>
      <c r="DN197" s="3">
        <f>DN205/12*4</f>
        <v>1000</v>
      </c>
      <c r="DO197" s="130">
        <f t="shared" si="533"/>
        <v>250</v>
      </c>
      <c r="DP197" s="4">
        <f t="shared" si="534"/>
        <v>0</v>
      </c>
      <c r="DQ197" s="116">
        <f t="shared" si="535"/>
        <v>3750</v>
      </c>
      <c r="DR197" s="116">
        <f t="shared" si="543"/>
        <v>1150</v>
      </c>
    </row>
    <row r="198" spans="1:122" ht="14.25" customHeight="1" thickBot="1" x14ac:dyDescent="0.2">
      <c r="A198" s="416"/>
      <c r="B198" s="16">
        <v>49341</v>
      </c>
      <c r="C198" s="207">
        <f>'PV-Felder'!$I$3</f>
        <v>922.2</v>
      </c>
      <c r="D198" s="351"/>
      <c r="E198" s="61">
        <v>0</v>
      </c>
      <c r="F198" s="351"/>
      <c r="G198" s="56" t="e">
        <f t="shared" ca="1" si="509"/>
        <v>#N/A</v>
      </c>
      <c r="H198" s="351"/>
      <c r="I198" s="61">
        <v>0</v>
      </c>
      <c r="J198" s="351"/>
      <c r="K198" s="61">
        <v>0</v>
      </c>
      <c r="L198" s="351"/>
      <c r="M198" s="65">
        <f t="shared" si="536"/>
        <v>0</v>
      </c>
      <c r="N198" s="373"/>
      <c r="O198" s="288"/>
      <c r="P198" s="288"/>
      <c r="Q198" s="286">
        <f t="shared" si="510"/>
        <v>0</v>
      </c>
      <c r="R198" s="334"/>
      <c r="S198" s="61">
        <v>0</v>
      </c>
      <c r="T198" s="376"/>
      <c r="U198" s="61">
        <v>0</v>
      </c>
      <c r="V198" s="342"/>
      <c r="W198" s="61">
        <v>0</v>
      </c>
      <c r="X198" s="342"/>
      <c r="Y198" s="211" t="e">
        <f t="shared" si="444"/>
        <v>#N/A</v>
      </c>
      <c r="Z198" s="370"/>
      <c r="AA198" s="61">
        <v>0</v>
      </c>
      <c r="AB198" s="351"/>
      <c r="AC198" s="61">
        <v>0</v>
      </c>
      <c r="AD198" s="351"/>
      <c r="AE198" s="73" t="e">
        <f t="shared" si="472"/>
        <v>#N/A</v>
      </c>
      <c r="AF198" s="356"/>
      <c r="AG198" s="73" t="e">
        <f t="shared" si="473"/>
        <v>#N/A</v>
      </c>
      <c r="AH198" s="356"/>
      <c r="AI198" s="221">
        <f t="shared" si="537"/>
        <v>29.26</v>
      </c>
      <c r="AJ198" s="78">
        <f t="shared" ref="AJ198:AP198" si="548">AJ197</f>
        <v>0.26750000000000002</v>
      </c>
      <c r="AK198" s="79">
        <f t="shared" si="548"/>
        <v>9.9166666666666661</v>
      </c>
      <c r="AL198" s="80">
        <f t="shared" si="548"/>
        <v>187</v>
      </c>
      <c r="AM198" s="78">
        <f t="shared" si="548"/>
        <v>9.737942583732058E-2</v>
      </c>
      <c r="AN198" s="80">
        <f t="shared" si="548"/>
        <v>143</v>
      </c>
      <c r="AO198" s="78">
        <f t="shared" si="548"/>
        <v>0.21099999999999999</v>
      </c>
      <c r="AP198" s="88">
        <f t="shared" si="548"/>
        <v>12</v>
      </c>
      <c r="AQ198" s="64">
        <f t="shared" si="545"/>
        <v>21.5</v>
      </c>
      <c r="AR198" s="64">
        <f t="shared" si="546"/>
        <v>11.5</v>
      </c>
      <c r="AS198" s="88">
        <f t="shared" si="547"/>
        <v>1.1830000000000001</v>
      </c>
      <c r="AT198" s="91">
        <f t="shared" si="420"/>
        <v>283</v>
      </c>
      <c r="AU198" s="94"/>
      <c r="AV198" s="95"/>
      <c r="AW198" s="56">
        <f t="shared" si="512"/>
        <v>0</v>
      </c>
      <c r="AX198" s="351"/>
      <c r="AY198" s="100">
        <f t="shared" si="371"/>
        <v>9.9166666666666661</v>
      </c>
      <c r="AZ198" s="360"/>
      <c r="BA198" s="91">
        <f t="shared" si="526"/>
        <v>-1878.862547000005</v>
      </c>
      <c r="BB198" s="5">
        <f t="shared" si="475"/>
        <v>-9.9166666666666661</v>
      </c>
      <c r="BC198" s="363"/>
      <c r="BD198" s="91" t="e">
        <f t="shared" ca="1" si="513"/>
        <v>#N/A</v>
      </c>
      <c r="BE198" s="91" t="e">
        <f t="shared" ca="1" si="514"/>
        <v>#N/A</v>
      </c>
      <c r="BF198" s="91">
        <f t="shared" si="515"/>
        <v>31.833333333333329</v>
      </c>
      <c r="BG198" s="91" t="e">
        <f t="shared" ca="1" si="516"/>
        <v>#N/A</v>
      </c>
      <c r="BH198" s="91" t="e">
        <f t="shared" ca="1" si="392"/>
        <v>#N/A</v>
      </c>
      <c r="BI198" s="10" t="e">
        <f t="shared" ca="1" si="539"/>
        <v>#N/A</v>
      </c>
      <c r="BJ198" s="104">
        <f>((M198+Q198)*AJ198+AK198)+((U198-W198+W198/('Vergleich Holz Strom'!$B$8-0.6))*AO198+AP198)</f>
        <v>21.916666666666664</v>
      </c>
      <c r="BK198" s="10" t="e">
        <f t="shared" ca="1" si="476"/>
        <v>#N/A</v>
      </c>
      <c r="BL198" s="379"/>
      <c r="BM198" s="104" t="e">
        <f t="shared" ca="1" si="527"/>
        <v>#N/A</v>
      </c>
      <c r="BN198" s="40" t="e">
        <f ca="1">IF(ISNUMBER(BK198),BN197+SUMIF(BK194:BK205,"&lt;&gt;#NV",BK194:BK205)/COUNTIF(BK194:BK205,"&lt;&gt;#NV"),#N/A)</f>
        <v>#N/A</v>
      </c>
      <c r="BO198" s="10" t="e">
        <f t="shared" ca="1" si="507"/>
        <v>#N/A</v>
      </c>
      <c r="BP198" s="104" t="e">
        <f t="shared" ca="1" si="477"/>
        <v>#N/A</v>
      </c>
      <c r="BQ198" s="104">
        <f t="shared" ca="1" si="500"/>
        <v>-59663.905514027123</v>
      </c>
      <c r="BR198" s="10">
        <f t="shared" si="517"/>
        <v>9.9166666666666661</v>
      </c>
      <c r="BS198" s="311"/>
      <c r="BT198" s="307"/>
      <c r="BU198" s="295">
        <f t="shared" si="518"/>
        <v>0</v>
      </c>
      <c r="BV198" s="323"/>
      <c r="BW198" s="299">
        <f t="shared" si="519"/>
        <v>0</v>
      </c>
      <c r="BX198" s="295">
        <f t="shared" si="520"/>
        <v>0</v>
      </c>
      <c r="BY198" s="382"/>
      <c r="BZ198" s="299">
        <f t="shared" si="528"/>
        <v>0</v>
      </c>
      <c r="CA198" s="295">
        <f t="shared" si="540"/>
        <v>0</v>
      </c>
      <c r="CB198" s="323"/>
      <c r="CC198" s="314">
        <f t="shared" si="541"/>
        <v>0</v>
      </c>
      <c r="CD198" s="326"/>
      <c r="CE198" s="299">
        <f t="shared" si="521"/>
        <v>0</v>
      </c>
      <c r="CF198" s="284">
        <f t="shared" si="542"/>
        <v>0</v>
      </c>
      <c r="CG198" s="323"/>
      <c r="CH198" s="302">
        <f t="shared" si="389"/>
        <v>0</v>
      </c>
      <c r="CI198" s="108">
        <f t="shared" si="522"/>
        <v>0</v>
      </c>
      <c r="CJ198" s="200">
        <f t="shared" si="523"/>
        <v>0</v>
      </c>
      <c r="CK198" s="197">
        <f t="shared" ref="CK198:CK261" si="549">U198*AM198</f>
        <v>0</v>
      </c>
      <c r="CL198" s="203">
        <f t="shared" si="524"/>
        <v>12</v>
      </c>
      <c r="CM198" s="4">
        <f>U198*Jahresdaten!$AD$2</f>
        <v>0</v>
      </c>
      <c r="CN198" s="112">
        <f>CJ198*Jahresdaten!$AD$2</f>
        <v>0</v>
      </c>
      <c r="CO198" s="366"/>
      <c r="CP198" s="116">
        <f>U198*Jahresdaten!$AD$3</f>
        <v>0</v>
      </c>
      <c r="CQ198" s="12">
        <f>CJ198*Jahresdaten!$AD$3</f>
        <v>0</v>
      </c>
      <c r="CR198" s="353"/>
      <c r="CS198" s="14"/>
      <c r="CT198" s="136"/>
      <c r="CU198" s="140" t="str">
        <f>IF(CT198=0,"",CT198*'Vergleich Holz Strom'!$B$2)</f>
        <v/>
      </c>
      <c r="CV198" s="353"/>
      <c r="CW198" s="366"/>
      <c r="CX198" s="345"/>
      <c r="CY198" s="345"/>
      <c r="CZ198" s="345"/>
      <c r="DA198" s="348"/>
      <c r="DB198" s="94"/>
      <c r="DC198" s="88">
        <f t="shared" si="453"/>
        <v>32777.927999999913</v>
      </c>
      <c r="DD198" s="94"/>
      <c r="DE198" s="88">
        <f t="shared" si="465"/>
        <v>-25564.112547000001</v>
      </c>
      <c r="DF198" s="100" t="e">
        <f ca="1">BE198+(SUM(CS194:CS205)/12)</f>
        <v>#N/A</v>
      </c>
      <c r="DG198" s="351"/>
      <c r="DH198" s="8">
        <f t="shared" si="529"/>
        <v>0</v>
      </c>
      <c r="DI198" s="123">
        <f t="shared" si="478"/>
        <v>9600</v>
      </c>
      <c r="DJ198" s="2">
        <f t="shared" si="530"/>
        <v>0</v>
      </c>
      <c r="DK198" s="127">
        <f>DK205/12*5</f>
        <v>3250</v>
      </c>
      <c r="DL198" s="2">
        <f t="shared" si="531"/>
        <v>650</v>
      </c>
      <c r="DM198" s="130">
        <f t="shared" si="532"/>
        <v>0</v>
      </c>
      <c r="DN198" s="3">
        <f>DN205/12*5</f>
        <v>1250</v>
      </c>
      <c r="DO198" s="130">
        <f t="shared" si="533"/>
        <v>250</v>
      </c>
      <c r="DP198" s="4">
        <f t="shared" si="534"/>
        <v>0</v>
      </c>
      <c r="DQ198" s="116">
        <f t="shared" si="535"/>
        <v>5100</v>
      </c>
      <c r="DR198" s="116">
        <f t="shared" si="543"/>
        <v>1350</v>
      </c>
    </row>
    <row r="199" spans="1:122" ht="14.25" customHeight="1" thickBot="1" x14ac:dyDescent="0.2">
      <c r="A199" s="416"/>
      <c r="B199" s="16">
        <v>49369</v>
      </c>
      <c r="C199" s="207">
        <f>'PV-Felder'!$I$4</f>
        <v>1860</v>
      </c>
      <c r="D199" s="351"/>
      <c r="E199" s="61">
        <v>0</v>
      </c>
      <c r="F199" s="351"/>
      <c r="G199" s="56" t="e">
        <f t="shared" ca="1" si="509"/>
        <v>#N/A</v>
      </c>
      <c r="H199" s="351"/>
      <c r="I199" s="61">
        <v>0</v>
      </c>
      <c r="J199" s="351"/>
      <c r="K199" s="61">
        <v>0</v>
      </c>
      <c r="L199" s="351"/>
      <c r="M199" s="65">
        <f t="shared" si="536"/>
        <v>0</v>
      </c>
      <c r="N199" s="373"/>
      <c r="O199" s="288"/>
      <c r="P199" s="288"/>
      <c r="Q199" s="286">
        <f t="shared" si="510"/>
        <v>0</v>
      </c>
      <c r="R199" s="334"/>
      <c r="S199" s="61">
        <v>0</v>
      </c>
      <c r="T199" s="376"/>
      <c r="U199" s="61">
        <v>0</v>
      </c>
      <c r="V199" s="342"/>
      <c r="W199" s="61">
        <v>0</v>
      </c>
      <c r="X199" s="342"/>
      <c r="Y199" s="211" t="e">
        <f t="shared" si="444"/>
        <v>#N/A</v>
      </c>
      <c r="Z199" s="370"/>
      <c r="AA199" s="61">
        <v>0</v>
      </c>
      <c r="AB199" s="351"/>
      <c r="AC199" s="61">
        <v>0</v>
      </c>
      <c r="AD199" s="351"/>
      <c r="AE199" s="73" t="e">
        <f t="shared" si="472"/>
        <v>#N/A</v>
      </c>
      <c r="AF199" s="356"/>
      <c r="AG199" s="73" t="e">
        <f t="shared" si="473"/>
        <v>#N/A</v>
      </c>
      <c r="AH199" s="356"/>
      <c r="AI199" s="221">
        <f t="shared" si="537"/>
        <v>29.26</v>
      </c>
      <c r="AJ199" s="78">
        <f t="shared" ref="AJ199:AP199" si="550">AJ198</f>
        <v>0.26750000000000002</v>
      </c>
      <c r="AK199" s="79">
        <f t="shared" si="550"/>
        <v>9.9166666666666661</v>
      </c>
      <c r="AL199" s="80">
        <f t="shared" si="550"/>
        <v>187</v>
      </c>
      <c r="AM199" s="78">
        <f t="shared" si="550"/>
        <v>9.737942583732058E-2</v>
      </c>
      <c r="AN199" s="80">
        <f t="shared" si="550"/>
        <v>143</v>
      </c>
      <c r="AO199" s="78">
        <f t="shared" si="550"/>
        <v>0.21099999999999999</v>
      </c>
      <c r="AP199" s="88">
        <f t="shared" si="550"/>
        <v>12</v>
      </c>
      <c r="AQ199" s="64">
        <f t="shared" si="545"/>
        <v>21.5</v>
      </c>
      <c r="AR199" s="64">
        <f t="shared" si="546"/>
        <v>11.5</v>
      </c>
      <c r="AS199" s="88">
        <f t="shared" si="547"/>
        <v>1.1830000000000001</v>
      </c>
      <c r="AT199" s="91">
        <f t="shared" si="420"/>
        <v>283</v>
      </c>
      <c r="AU199" s="94"/>
      <c r="AV199" s="95"/>
      <c r="AW199" s="56">
        <f t="shared" si="512"/>
        <v>0</v>
      </c>
      <c r="AX199" s="351"/>
      <c r="AY199" s="100">
        <f t="shared" ref="AY199:AY262" si="551">(AA199*AJ199+AK199)-(AC199*AM199)</f>
        <v>9.9166666666666661</v>
      </c>
      <c r="AZ199" s="360"/>
      <c r="BA199" s="91">
        <f t="shared" si="526"/>
        <v>-1888.7792136666717</v>
      </c>
      <c r="BB199" s="5">
        <f t="shared" si="475"/>
        <v>-9.9166666666666661</v>
      </c>
      <c r="BC199" s="363"/>
      <c r="BD199" s="91" t="e">
        <f t="shared" ca="1" si="513"/>
        <v>#N/A</v>
      </c>
      <c r="BE199" s="91" t="e">
        <f t="shared" ca="1" si="514"/>
        <v>#N/A</v>
      </c>
      <c r="BF199" s="91">
        <f t="shared" si="515"/>
        <v>31.833333333333329</v>
      </c>
      <c r="BG199" s="91" t="e">
        <f t="shared" ca="1" si="516"/>
        <v>#N/A</v>
      </c>
      <c r="BH199" s="91" t="e">
        <f t="shared" ca="1" si="392"/>
        <v>#N/A</v>
      </c>
      <c r="BI199" s="10" t="e">
        <f t="shared" ca="1" si="539"/>
        <v>#N/A</v>
      </c>
      <c r="BJ199" s="104">
        <f>((M199+Q199)*AJ199+AK199)+((U199-W199+W199/('Vergleich Holz Strom'!$B$8-0.6))*AO199+AP199)</f>
        <v>21.916666666666664</v>
      </c>
      <c r="BK199" s="10" t="e">
        <f t="shared" ca="1" si="476"/>
        <v>#N/A</v>
      </c>
      <c r="BL199" s="379"/>
      <c r="BM199" s="104" t="e">
        <f t="shared" ca="1" si="527"/>
        <v>#N/A</v>
      </c>
      <c r="BN199" s="40" t="e">
        <f ca="1">IF(ISNUMBER(BK199),BN198+SUMIF(BK194:BK205,"&lt;&gt;#NV",BK194:BK205)/COUNTIF(BK194:BK205,"&lt;&gt;#NV"),#N/A)</f>
        <v>#N/A</v>
      </c>
      <c r="BO199" s="10" t="e">
        <f t="shared" ca="1" si="507"/>
        <v>#N/A</v>
      </c>
      <c r="BP199" s="104" t="e">
        <f t="shared" ca="1" si="477"/>
        <v>#N/A</v>
      </c>
      <c r="BQ199" s="104">
        <f t="shared" ca="1" si="500"/>
        <v>-59644.705514027126</v>
      </c>
      <c r="BR199" s="10">
        <f t="shared" si="517"/>
        <v>9.9166666666666661</v>
      </c>
      <c r="BS199" s="311"/>
      <c r="BT199" s="307"/>
      <c r="BU199" s="295">
        <f t="shared" si="518"/>
        <v>0</v>
      </c>
      <c r="BV199" s="323"/>
      <c r="BW199" s="299">
        <f t="shared" si="519"/>
        <v>0</v>
      </c>
      <c r="BX199" s="295">
        <f t="shared" si="520"/>
        <v>0</v>
      </c>
      <c r="BY199" s="382"/>
      <c r="BZ199" s="299">
        <f t="shared" si="528"/>
        <v>0</v>
      </c>
      <c r="CA199" s="295">
        <f t="shared" si="540"/>
        <v>0</v>
      </c>
      <c r="CB199" s="323"/>
      <c r="CC199" s="314">
        <f t="shared" si="541"/>
        <v>0</v>
      </c>
      <c r="CD199" s="326"/>
      <c r="CE199" s="299">
        <f t="shared" si="521"/>
        <v>0</v>
      </c>
      <c r="CF199" s="284">
        <f t="shared" si="542"/>
        <v>0</v>
      </c>
      <c r="CG199" s="323"/>
      <c r="CH199" s="302">
        <f t="shared" si="389"/>
        <v>0</v>
      </c>
      <c r="CI199" s="108">
        <f t="shared" si="522"/>
        <v>0</v>
      </c>
      <c r="CJ199" s="200">
        <f t="shared" si="523"/>
        <v>0</v>
      </c>
      <c r="CK199" s="197">
        <f t="shared" si="549"/>
        <v>0</v>
      </c>
      <c r="CL199" s="203">
        <f t="shared" si="524"/>
        <v>12</v>
      </c>
      <c r="CM199" s="4">
        <f>U199*Jahresdaten!$AD$2</f>
        <v>0</v>
      </c>
      <c r="CN199" s="112">
        <f>CJ199*Jahresdaten!$AD$2</f>
        <v>0</v>
      </c>
      <c r="CO199" s="366"/>
      <c r="CP199" s="116">
        <f>U199*Jahresdaten!$AD$3</f>
        <v>0</v>
      </c>
      <c r="CQ199" s="12">
        <f>CJ199*Jahresdaten!$AD$3</f>
        <v>0</v>
      </c>
      <c r="CR199" s="353"/>
      <c r="CS199" s="14"/>
      <c r="CT199" s="136"/>
      <c r="CU199" s="140" t="str">
        <f>IF(CT199=0,"",CT199*'Vergleich Holz Strom'!$B$2)</f>
        <v/>
      </c>
      <c r="CV199" s="353"/>
      <c r="CW199" s="366"/>
      <c r="CX199" s="345"/>
      <c r="CY199" s="345"/>
      <c r="CZ199" s="345"/>
      <c r="DA199" s="348"/>
      <c r="DB199" s="94"/>
      <c r="DC199" s="88">
        <f t="shared" si="453"/>
        <v>32955.011333333248</v>
      </c>
      <c r="DD199" s="94"/>
      <c r="DE199" s="88">
        <f t="shared" si="465"/>
        <v>-25707.112547000001</v>
      </c>
      <c r="DF199" s="100" t="e">
        <f ca="1">BE199+(SUM(CS194:CS205)/12)</f>
        <v>#N/A</v>
      </c>
      <c r="DG199" s="351"/>
      <c r="DH199" s="8">
        <f t="shared" si="529"/>
        <v>0</v>
      </c>
      <c r="DI199" s="123">
        <f t="shared" si="478"/>
        <v>11850</v>
      </c>
      <c r="DJ199" s="2">
        <f t="shared" si="530"/>
        <v>0</v>
      </c>
      <c r="DK199" s="127">
        <f>DK205/12*6</f>
        <v>3900</v>
      </c>
      <c r="DL199" s="2">
        <f t="shared" si="531"/>
        <v>650</v>
      </c>
      <c r="DM199" s="130">
        <f t="shared" si="532"/>
        <v>0</v>
      </c>
      <c r="DN199" s="3">
        <f>DN205/12*6</f>
        <v>1500</v>
      </c>
      <c r="DO199" s="130">
        <f t="shared" si="533"/>
        <v>250</v>
      </c>
      <c r="DP199" s="4">
        <f t="shared" si="534"/>
        <v>0</v>
      </c>
      <c r="DQ199" s="116">
        <f t="shared" si="535"/>
        <v>6450</v>
      </c>
      <c r="DR199" s="116">
        <f t="shared" si="543"/>
        <v>1350</v>
      </c>
    </row>
    <row r="200" spans="1:122" ht="15" customHeight="1" thickBot="1" x14ac:dyDescent="0.2">
      <c r="A200" s="416"/>
      <c r="B200" s="16">
        <v>49400</v>
      </c>
      <c r="C200" s="207">
        <f>'PV-Felder'!$I$5</f>
        <v>2887.3</v>
      </c>
      <c r="D200" s="351"/>
      <c r="E200" s="61">
        <v>0</v>
      </c>
      <c r="F200" s="351"/>
      <c r="G200" s="56" t="e">
        <f t="shared" ca="1" si="509"/>
        <v>#N/A</v>
      </c>
      <c r="H200" s="351"/>
      <c r="I200" s="61">
        <v>0</v>
      </c>
      <c r="J200" s="351"/>
      <c r="K200" s="61">
        <v>0</v>
      </c>
      <c r="L200" s="351"/>
      <c r="M200" s="65">
        <f t="shared" si="536"/>
        <v>0</v>
      </c>
      <c r="N200" s="373"/>
      <c r="O200" s="288"/>
      <c r="P200" s="288"/>
      <c r="Q200" s="286">
        <f t="shared" si="510"/>
        <v>0</v>
      </c>
      <c r="R200" s="334"/>
      <c r="S200" s="61">
        <v>0</v>
      </c>
      <c r="T200" s="376"/>
      <c r="U200" s="61">
        <v>0</v>
      </c>
      <c r="V200" s="342"/>
      <c r="W200" s="61">
        <v>0</v>
      </c>
      <c r="X200" s="342"/>
      <c r="Y200" s="211" t="e">
        <f t="shared" si="444"/>
        <v>#N/A</v>
      </c>
      <c r="Z200" s="370"/>
      <c r="AA200" s="61">
        <v>0</v>
      </c>
      <c r="AB200" s="351"/>
      <c r="AC200" s="61">
        <v>0</v>
      </c>
      <c r="AD200" s="351"/>
      <c r="AE200" s="73" t="e">
        <f t="shared" si="472"/>
        <v>#N/A</v>
      </c>
      <c r="AF200" s="356"/>
      <c r="AG200" s="73" t="e">
        <f t="shared" si="473"/>
        <v>#N/A</v>
      </c>
      <c r="AH200" s="356"/>
      <c r="AI200" s="221">
        <f t="shared" si="537"/>
        <v>29.26</v>
      </c>
      <c r="AJ200" s="78">
        <f t="shared" ref="AJ200:AP200" si="552">AJ199</f>
        <v>0.26750000000000002</v>
      </c>
      <c r="AK200" s="79">
        <f t="shared" si="552"/>
        <v>9.9166666666666661</v>
      </c>
      <c r="AL200" s="80">
        <f t="shared" si="552"/>
        <v>187</v>
      </c>
      <c r="AM200" s="78">
        <f t="shared" si="552"/>
        <v>9.737942583732058E-2</v>
      </c>
      <c r="AN200" s="80">
        <f t="shared" si="552"/>
        <v>143</v>
      </c>
      <c r="AO200" s="78">
        <f t="shared" si="552"/>
        <v>0.21099999999999999</v>
      </c>
      <c r="AP200" s="88">
        <f t="shared" si="552"/>
        <v>12</v>
      </c>
      <c r="AQ200" s="64">
        <f t="shared" si="545"/>
        <v>21.5</v>
      </c>
      <c r="AR200" s="64">
        <f t="shared" si="546"/>
        <v>11.5</v>
      </c>
      <c r="AS200" s="88">
        <f t="shared" si="547"/>
        <v>1.1830000000000001</v>
      </c>
      <c r="AT200" s="91">
        <f t="shared" si="420"/>
        <v>283</v>
      </c>
      <c r="AU200" s="94"/>
      <c r="AV200" s="95"/>
      <c r="AW200" s="56">
        <f t="shared" si="512"/>
        <v>0</v>
      </c>
      <c r="AX200" s="351"/>
      <c r="AY200" s="100">
        <f t="shared" si="551"/>
        <v>9.9166666666666661</v>
      </c>
      <c r="AZ200" s="360"/>
      <c r="BA200" s="91">
        <f t="shared" si="526"/>
        <v>-1898.6958803333384</v>
      </c>
      <c r="BB200" s="5">
        <f t="shared" si="475"/>
        <v>-9.9166666666666661</v>
      </c>
      <c r="BC200" s="363"/>
      <c r="BD200" s="91" t="e">
        <f t="shared" ca="1" si="513"/>
        <v>#N/A</v>
      </c>
      <c r="BE200" s="91" t="e">
        <f t="shared" ca="1" si="514"/>
        <v>#N/A</v>
      </c>
      <c r="BF200" s="91">
        <f t="shared" si="515"/>
        <v>31.833333333333329</v>
      </c>
      <c r="BG200" s="91" t="e">
        <f t="shared" ca="1" si="516"/>
        <v>#N/A</v>
      </c>
      <c r="BH200" s="91" t="e">
        <f t="shared" ca="1" si="392"/>
        <v>#N/A</v>
      </c>
      <c r="BI200" s="10" t="e">
        <f t="shared" ca="1" si="539"/>
        <v>#N/A</v>
      </c>
      <c r="BJ200" s="104">
        <f>((M200+Q200)*AJ200+AK200)+((U200-W200+W200/('Vergleich Holz Strom'!$B$8-0.6))*AO200+AP200)</f>
        <v>21.916666666666664</v>
      </c>
      <c r="BK200" s="10" t="e">
        <f t="shared" ca="1" si="476"/>
        <v>#N/A</v>
      </c>
      <c r="BL200" s="379"/>
      <c r="BM200" s="104" t="e">
        <f t="shared" ca="1" si="527"/>
        <v>#N/A</v>
      </c>
      <c r="BN200" s="40" t="e">
        <f ca="1">IF(ISNUMBER(BK200),BN199+SUMIF(BK194:BK205,"&lt;&gt;#NV",BK194:BK205)/COUNTIF(BK194:BK205,"&lt;&gt;#NV"),#N/A)</f>
        <v>#N/A</v>
      </c>
      <c r="BO200" s="10" t="e">
        <f t="shared" ca="1" si="507"/>
        <v>#N/A</v>
      </c>
      <c r="BP200" s="104" t="e">
        <f t="shared" ca="1" si="477"/>
        <v>#N/A</v>
      </c>
      <c r="BQ200" s="104">
        <f t="shared" ca="1" si="500"/>
        <v>-59625.5055140271</v>
      </c>
      <c r="BR200" s="10">
        <f t="shared" si="517"/>
        <v>9.9166666666666661</v>
      </c>
      <c r="BS200" s="311"/>
      <c r="BT200" s="307"/>
      <c r="BU200" s="295">
        <f t="shared" si="518"/>
        <v>0</v>
      </c>
      <c r="BV200" s="323"/>
      <c r="BW200" s="299">
        <f t="shared" si="519"/>
        <v>0</v>
      </c>
      <c r="BX200" s="295">
        <f t="shared" si="520"/>
        <v>0</v>
      </c>
      <c r="BY200" s="382"/>
      <c r="BZ200" s="299">
        <f t="shared" si="528"/>
        <v>0</v>
      </c>
      <c r="CA200" s="295">
        <f t="shared" si="540"/>
        <v>0</v>
      </c>
      <c r="CB200" s="323"/>
      <c r="CC200" s="314">
        <f t="shared" si="541"/>
        <v>0</v>
      </c>
      <c r="CD200" s="326"/>
      <c r="CE200" s="299">
        <f t="shared" si="521"/>
        <v>0</v>
      </c>
      <c r="CF200" s="284">
        <f t="shared" si="542"/>
        <v>0</v>
      </c>
      <c r="CG200" s="323"/>
      <c r="CH200" s="302">
        <f t="shared" si="389"/>
        <v>0</v>
      </c>
      <c r="CI200" s="108">
        <f t="shared" si="522"/>
        <v>0</v>
      </c>
      <c r="CJ200" s="200">
        <f t="shared" si="523"/>
        <v>0</v>
      </c>
      <c r="CK200" s="197">
        <f t="shared" si="549"/>
        <v>0</v>
      </c>
      <c r="CL200" s="203">
        <f t="shared" si="524"/>
        <v>12</v>
      </c>
      <c r="CM200" s="4">
        <f>U200*Jahresdaten!$AD$2</f>
        <v>0</v>
      </c>
      <c r="CN200" s="112">
        <f>CJ200*Jahresdaten!$AD$2</f>
        <v>0</v>
      </c>
      <c r="CO200" s="366"/>
      <c r="CP200" s="116">
        <f>U200*Jahresdaten!$AD$3</f>
        <v>0</v>
      </c>
      <c r="CQ200" s="12">
        <f>CJ200*Jahresdaten!$AD$3</f>
        <v>0</v>
      </c>
      <c r="CR200" s="353"/>
      <c r="CS200" s="14"/>
      <c r="CT200" s="136"/>
      <c r="CU200" s="140" t="str">
        <f>IF(CT200=0,"",CT200*'Vergleich Holz Strom'!$B$2)</f>
        <v/>
      </c>
      <c r="CV200" s="121" t="s">
        <v>6</v>
      </c>
      <c r="CW200" s="366"/>
      <c r="CX200" s="345"/>
      <c r="CY200" s="345"/>
      <c r="CZ200" s="345"/>
      <c r="DA200" s="348"/>
      <c r="DB200" s="94"/>
      <c r="DC200" s="88">
        <f t="shared" si="453"/>
        <v>33132.094666666584</v>
      </c>
      <c r="DD200" s="94"/>
      <c r="DE200" s="88">
        <f t="shared" si="465"/>
        <v>-25850.112547000001</v>
      </c>
      <c r="DF200" s="100" t="e">
        <f ca="1">BE200+(SUM(CS194:CS205)/12)</f>
        <v>#N/A</v>
      </c>
      <c r="DG200" s="351"/>
      <c r="DH200" s="8">
        <f t="shared" si="529"/>
        <v>0</v>
      </c>
      <c r="DI200" s="123">
        <f t="shared" si="478"/>
        <v>14000</v>
      </c>
      <c r="DJ200" s="2">
        <f t="shared" si="530"/>
        <v>0</v>
      </c>
      <c r="DK200" s="127">
        <f>DK205/12*7</f>
        <v>4550</v>
      </c>
      <c r="DL200" s="2">
        <f t="shared" si="531"/>
        <v>650</v>
      </c>
      <c r="DM200" s="130">
        <f t="shared" si="532"/>
        <v>0</v>
      </c>
      <c r="DN200" s="3">
        <f>DN205/12*7</f>
        <v>1750</v>
      </c>
      <c r="DO200" s="130">
        <f t="shared" si="533"/>
        <v>250</v>
      </c>
      <c r="DP200" s="4">
        <f t="shared" si="534"/>
        <v>0</v>
      </c>
      <c r="DQ200" s="116">
        <f t="shared" si="535"/>
        <v>7700</v>
      </c>
      <c r="DR200" s="116">
        <f t="shared" si="543"/>
        <v>1250</v>
      </c>
    </row>
    <row r="201" spans="1:122" ht="14.25" customHeight="1" thickBot="1" x14ac:dyDescent="0.2">
      <c r="A201" s="416"/>
      <c r="B201" s="16">
        <v>49430</v>
      </c>
      <c r="C201" s="207">
        <f>'PV-Felder'!$I$6</f>
        <v>3391.3999999999996</v>
      </c>
      <c r="D201" s="351"/>
      <c r="E201" s="61">
        <v>0</v>
      </c>
      <c r="F201" s="351"/>
      <c r="G201" s="56" t="e">
        <f t="shared" ca="1" si="509"/>
        <v>#N/A</v>
      </c>
      <c r="H201" s="351"/>
      <c r="I201" s="61">
        <v>0</v>
      </c>
      <c r="J201" s="351"/>
      <c r="K201" s="61">
        <v>0</v>
      </c>
      <c r="L201" s="351"/>
      <c r="M201" s="65">
        <f t="shared" si="536"/>
        <v>0</v>
      </c>
      <c r="N201" s="373"/>
      <c r="O201" s="288"/>
      <c r="P201" s="288"/>
      <c r="Q201" s="286">
        <f t="shared" si="510"/>
        <v>0</v>
      </c>
      <c r="R201" s="334"/>
      <c r="S201" s="61">
        <v>0</v>
      </c>
      <c r="T201" s="376"/>
      <c r="U201" s="61">
        <v>0</v>
      </c>
      <c r="V201" s="342"/>
      <c r="W201" s="61">
        <v>0</v>
      </c>
      <c r="X201" s="342"/>
      <c r="Y201" s="211" t="e">
        <f t="shared" si="444"/>
        <v>#N/A</v>
      </c>
      <c r="Z201" s="370"/>
      <c r="AA201" s="61">
        <v>0</v>
      </c>
      <c r="AB201" s="351"/>
      <c r="AC201" s="61">
        <v>0</v>
      </c>
      <c r="AD201" s="351"/>
      <c r="AE201" s="73" t="e">
        <f t="shared" si="472"/>
        <v>#N/A</v>
      </c>
      <c r="AF201" s="356"/>
      <c r="AG201" s="73" t="e">
        <f t="shared" si="473"/>
        <v>#N/A</v>
      </c>
      <c r="AH201" s="356"/>
      <c r="AI201" s="221">
        <f t="shared" si="537"/>
        <v>29.26</v>
      </c>
      <c r="AJ201" s="78">
        <f t="shared" ref="AJ201:AP201" si="553">AJ200</f>
        <v>0.26750000000000002</v>
      </c>
      <c r="AK201" s="79">
        <f t="shared" si="553"/>
        <v>9.9166666666666661</v>
      </c>
      <c r="AL201" s="80">
        <f t="shared" si="553"/>
        <v>187</v>
      </c>
      <c r="AM201" s="78">
        <f t="shared" si="553"/>
        <v>9.737942583732058E-2</v>
      </c>
      <c r="AN201" s="80">
        <f t="shared" si="553"/>
        <v>143</v>
      </c>
      <c r="AO201" s="78">
        <f t="shared" si="553"/>
        <v>0.21099999999999999</v>
      </c>
      <c r="AP201" s="88">
        <f t="shared" si="553"/>
        <v>12</v>
      </c>
      <c r="AQ201" s="64">
        <f t="shared" si="545"/>
        <v>21.5</v>
      </c>
      <c r="AR201" s="64">
        <f t="shared" si="546"/>
        <v>11.5</v>
      </c>
      <c r="AS201" s="88">
        <f t="shared" si="547"/>
        <v>1.1830000000000001</v>
      </c>
      <c r="AT201" s="91">
        <f t="shared" si="420"/>
        <v>283</v>
      </c>
      <c r="AU201" s="94"/>
      <c r="AV201" s="95"/>
      <c r="AW201" s="56">
        <f t="shared" si="512"/>
        <v>0</v>
      </c>
      <c r="AX201" s="351"/>
      <c r="AY201" s="100">
        <f t="shared" si="551"/>
        <v>9.9166666666666661</v>
      </c>
      <c r="AZ201" s="360"/>
      <c r="BA201" s="91">
        <f t="shared" si="526"/>
        <v>-1908.6125470000052</v>
      </c>
      <c r="BB201" s="5">
        <f t="shared" si="475"/>
        <v>-9.9166666666666661</v>
      </c>
      <c r="BC201" s="363"/>
      <c r="BD201" s="91" t="e">
        <f t="shared" ca="1" si="513"/>
        <v>#N/A</v>
      </c>
      <c r="BE201" s="91" t="e">
        <f t="shared" ca="1" si="514"/>
        <v>#N/A</v>
      </c>
      <c r="BF201" s="91">
        <f t="shared" si="515"/>
        <v>31.833333333333329</v>
      </c>
      <c r="BG201" s="91" t="e">
        <f t="shared" ca="1" si="516"/>
        <v>#N/A</v>
      </c>
      <c r="BH201" s="91" t="e">
        <f t="shared" ca="1" si="392"/>
        <v>#N/A</v>
      </c>
      <c r="BI201" s="10" t="e">
        <f t="shared" ca="1" si="539"/>
        <v>#N/A</v>
      </c>
      <c r="BJ201" s="104">
        <f>((M201+Q201)*AJ201+AK201)+((U201-W201+W201/('Vergleich Holz Strom'!$B$8-0.6))*AO201+AP201)</f>
        <v>21.916666666666664</v>
      </c>
      <c r="BK201" s="10" t="e">
        <f t="shared" ca="1" si="476"/>
        <v>#N/A</v>
      </c>
      <c r="BL201" s="379"/>
      <c r="BM201" s="104" t="e">
        <f t="shared" ca="1" si="527"/>
        <v>#N/A</v>
      </c>
      <c r="BN201" s="40" t="e">
        <f ca="1">IF(ISNUMBER(BK201),BN200+SUMIF(BK194:BK205,"&lt;&gt;#NV",BK194:BK205)/COUNTIF(BK194:BK205,"&lt;&gt;#NV"),#N/A)</f>
        <v>#N/A</v>
      </c>
      <c r="BO201" s="10" t="e">
        <f t="shared" ca="1" si="507"/>
        <v>#N/A</v>
      </c>
      <c r="BP201" s="104" t="e">
        <f t="shared" ca="1" si="477"/>
        <v>#N/A</v>
      </c>
      <c r="BQ201" s="104">
        <f t="shared" ca="1" si="500"/>
        <v>-59606.305514027088</v>
      </c>
      <c r="BR201" s="10">
        <f t="shared" si="517"/>
        <v>9.9166666666666661</v>
      </c>
      <c r="BS201" s="311"/>
      <c r="BT201" s="307"/>
      <c r="BU201" s="295">
        <f t="shared" si="518"/>
        <v>0</v>
      </c>
      <c r="BV201" s="323"/>
      <c r="BW201" s="299">
        <f t="shared" si="519"/>
        <v>0</v>
      </c>
      <c r="BX201" s="295">
        <f t="shared" si="520"/>
        <v>0</v>
      </c>
      <c r="BY201" s="382"/>
      <c r="BZ201" s="299">
        <f t="shared" si="528"/>
        <v>0</v>
      </c>
      <c r="CA201" s="295">
        <f t="shared" si="540"/>
        <v>0</v>
      </c>
      <c r="CB201" s="323"/>
      <c r="CC201" s="314">
        <f t="shared" si="541"/>
        <v>0</v>
      </c>
      <c r="CD201" s="326"/>
      <c r="CE201" s="299">
        <f t="shared" si="521"/>
        <v>0</v>
      </c>
      <c r="CF201" s="284">
        <f t="shared" si="542"/>
        <v>0</v>
      </c>
      <c r="CG201" s="323"/>
      <c r="CH201" s="302">
        <f t="shared" si="389"/>
        <v>0</v>
      </c>
      <c r="CI201" s="108">
        <f t="shared" si="522"/>
        <v>0</v>
      </c>
      <c r="CJ201" s="200">
        <f t="shared" si="523"/>
        <v>0</v>
      </c>
      <c r="CK201" s="197">
        <f t="shared" si="549"/>
        <v>0</v>
      </c>
      <c r="CL201" s="203">
        <f t="shared" si="524"/>
        <v>12</v>
      </c>
      <c r="CM201" s="4">
        <f>U201*Jahresdaten!$AD$2</f>
        <v>0</v>
      </c>
      <c r="CN201" s="112">
        <f>CJ201*Jahresdaten!$AD$2</f>
        <v>0</v>
      </c>
      <c r="CO201" s="366"/>
      <c r="CP201" s="116">
        <f>U201*Jahresdaten!$AD$3</f>
        <v>0</v>
      </c>
      <c r="CQ201" s="12">
        <f>CJ201*Jahresdaten!$AD$3</f>
        <v>0</v>
      </c>
      <c r="CR201" s="353"/>
      <c r="CS201" s="14"/>
      <c r="CT201" s="136"/>
      <c r="CU201" s="140" t="str">
        <f>IF(CT201=0,"",CT201*'Vergleich Holz Strom'!$B$2)</f>
        <v/>
      </c>
      <c r="CV201" s="353">
        <f>SUM(CS194:CS205)</f>
        <v>1169</v>
      </c>
      <c r="CW201" s="366"/>
      <c r="CX201" s="345"/>
      <c r="CY201" s="345"/>
      <c r="CZ201" s="345"/>
      <c r="DA201" s="348"/>
      <c r="DB201" s="94"/>
      <c r="DC201" s="88">
        <f t="shared" si="453"/>
        <v>33309.17799999992</v>
      </c>
      <c r="DD201" s="94"/>
      <c r="DE201" s="88">
        <f t="shared" si="465"/>
        <v>-25993.112547000001</v>
      </c>
      <c r="DF201" s="100" t="e">
        <f ca="1">BE201+(SUM(CS194:CS205)/12)</f>
        <v>#N/A</v>
      </c>
      <c r="DG201" s="351"/>
      <c r="DH201" s="8">
        <f t="shared" si="529"/>
        <v>0</v>
      </c>
      <c r="DI201" s="123">
        <f t="shared" si="478"/>
        <v>16000</v>
      </c>
      <c r="DJ201" s="2">
        <f t="shared" si="530"/>
        <v>0</v>
      </c>
      <c r="DK201" s="127">
        <f>DK205/12*8</f>
        <v>5200</v>
      </c>
      <c r="DL201" s="2">
        <f t="shared" si="531"/>
        <v>650</v>
      </c>
      <c r="DM201" s="130">
        <f t="shared" si="532"/>
        <v>0</v>
      </c>
      <c r="DN201" s="3">
        <f>DN205/12*8</f>
        <v>2000</v>
      </c>
      <c r="DO201" s="130">
        <f t="shared" si="533"/>
        <v>250</v>
      </c>
      <c r="DP201" s="4">
        <f t="shared" si="534"/>
        <v>0</v>
      </c>
      <c r="DQ201" s="116">
        <f t="shared" si="535"/>
        <v>8800</v>
      </c>
      <c r="DR201" s="116">
        <f t="shared" si="543"/>
        <v>1100</v>
      </c>
    </row>
    <row r="202" spans="1:122" ht="14.25" customHeight="1" thickBot="1" x14ac:dyDescent="0.2">
      <c r="A202" s="416"/>
      <c r="B202" s="16">
        <v>49461</v>
      </c>
      <c r="C202" s="207">
        <f>'PV-Felder'!$I$7</f>
        <v>3595.6000000000004</v>
      </c>
      <c r="D202" s="351"/>
      <c r="E202" s="61">
        <v>0</v>
      </c>
      <c r="F202" s="351"/>
      <c r="G202" s="56" t="e">
        <f t="shared" ca="1" si="509"/>
        <v>#N/A</v>
      </c>
      <c r="H202" s="351"/>
      <c r="I202" s="61">
        <v>0</v>
      </c>
      <c r="J202" s="351"/>
      <c r="K202" s="61">
        <v>0</v>
      </c>
      <c r="L202" s="351"/>
      <c r="M202" s="65">
        <f t="shared" si="536"/>
        <v>0</v>
      </c>
      <c r="N202" s="373"/>
      <c r="O202" s="288"/>
      <c r="P202" s="288"/>
      <c r="Q202" s="286">
        <f t="shared" si="510"/>
        <v>0</v>
      </c>
      <c r="R202" s="334"/>
      <c r="S202" s="61">
        <v>0</v>
      </c>
      <c r="T202" s="376"/>
      <c r="U202" s="61">
        <v>0</v>
      </c>
      <c r="V202" s="342"/>
      <c r="W202" s="61">
        <v>0</v>
      </c>
      <c r="X202" s="342"/>
      <c r="Y202" s="211" t="e">
        <f t="shared" si="444"/>
        <v>#N/A</v>
      </c>
      <c r="Z202" s="370"/>
      <c r="AA202" s="61">
        <v>0</v>
      </c>
      <c r="AB202" s="351"/>
      <c r="AC202" s="61">
        <v>0</v>
      </c>
      <c r="AD202" s="351"/>
      <c r="AE202" s="73" t="e">
        <f t="shared" si="472"/>
        <v>#N/A</v>
      </c>
      <c r="AF202" s="356"/>
      <c r="AG202" s="73" t="e">
        <f t="shared" si="473"/>
        <v>#N/A</v>
      </c>
      <c r="AH202" s="356"/>
      <c r="AI202" s="221">
        <f t="shared" si="537"/>
        <v>29.26</v>
      </c>
      <c r="AJ202" s="78">
        <f t="shared" ref="AJ202:AP202" si="554">AJ201</f>
        <v>0.26750000000000002</v>
      </c>
      <c r="AK202" s="79">
        <f t="shared" si="554"/>
        <v>9.9166666666666661</v>
      </c>
      <c r="AL202" s="80">
        <f t="shared" si="554"/>
        <v>187</v>
      </c>
      <c r="AM202" s="78">
        <f t="shared" si="554"/>
        <v>9.737942583732058E-2</v>
      </c>
      <c r="AN202" s="80">
        <f t="shared" si="554"/>
        <v>143</v>
      </c>
      <c r="AO202" s="78">
        <f t="shared" si="554"/>
        <v>0.21099999999999999</v>
      </c>
      <c r="AP202" s="88">
        <f t="shared" si="554"/>
        <v>12</v>
      </c>
      <c r="AQ202" s="64">
        <f t="shared" si="545"/>
        <v>21.5</v>
      </c>
      <c r="AR202" s="64">
        <f t="shared" si="546"/>
        <v>11.5</v>
      </c>
      <c r="AS202" s="88">
        <f t="shared" si="547"/>
        <v>1.1830000000000001</v>
      </c>
      <c r="AT202" s="91">
        <f t="shared" si="420"/>
        <v>283</v>
      </c>
      <c r="AU202" s="94"/>
      <c r="AV202" s="95"/>
      <c r="AW202" s="56">
        <f t="shared" si="512"/>
        <v>0</v>
      </c>
      <c r="AX202" s="351"/>
      <c r="AY202" s="100">
        <f t="shared" si="551"/>
        <v>9.9166666666666661</v>
      </c>
      <c r="AZ202" s="360"/>
      <c r="BA202" s="91">
        <f t="shared" si="526"/>
        <v>-1918.5292136666719</v>
      </c>
      <c r="BB202" s="5">
        <f t="shared" si="475"/>
        <v>-9.9166666666666661</v>
      </c>
      <c r="BC202" s="363"/>
      <c r="BD202" s="91" t="e">
        <f t="shared" ca="1" si="513"/>
        <v>#N/A</v>
      </c>
      <c r="BE202" s="91" t="e">
        <f t="shared" ca="1" si="514"/>
        <v>#N/A</v>
      </c>
      <c r="BF202" s="91">
        <f t="shared" si="515"/>
        <v>31.833333333333329</v>
      </c>
      <c r="BG202" s="91" t="e">
        <f t="shared" ca="1" si="516"/>
        <v>#N/A</v>
      </c>
      <c r="BH202" s="91" t="e">
        <f t="shared" ca="1" si="392"/>
        <v>#N/A</v>
      </c>
      <c r="BI202" s="10" t="e">
        <f t="shared" ca="1" si="539"/>
        <v>#N/A</v>
      </c>
      <c r="BJ202" s="104">
        <f>((M202+Q202)*AJ202+AK202)+((U202-W202+W202/('Vergleich Holz Strom'!$B$8-0.6))*AO202+AP202)</f>
        <v>21.916666666666664</v>
      </c>
      <c r="BK202" s="10" t="e">
        <f t="shared" ca="1" si="476"/>
        <v>#N/A</v>
      </c>
      <c r="BL202" s="379"/>
      <c r="BM202" s="104" t="e">
        <f t="shared" ca="1" si="527"/>
        <v>#N/A</v>
      </c>
      <c r="BN202" s="40" t="e">
        <f ca="1">IF(ISNUMBER(BK202),BN201+SUMIF(BK194:BK205,"&lt;&gt;#NV",BK194:BK205)/COUNTIF(BK194:BK205,"&lt;&gt;#NV"),#N/A)</f>
        <v>#N/A</v>
      </c>
      <c r="BO202" s="10" t="e">
        <f t="shared" ca="1" si="507"/>
        <v>#N/A</v>
      </c>
      <c r="BP202" s="104" t="e">
        <f t="shared" ca="1" si="477"/>
        <v>#N/A</v>
      </c>
      <c r="BQ202" s="104">
        <f t="shared" ca="1" si="500"/>
        <v>-59590.104846784634</v>
      </c>
      <c r="BR202" s="10">
        <f t="shared" si="517"/>
        <v>9.9166666666666661</v>
      </c>
      <c r="BS202" s="311"/>
      <c r="BT202" s="307"/>
      <c r="BU202" s="295">
        <f t="shared" si="518"/>
        <v>0</v>
      </c>
      <c r="BV202" s="323"/>
      <c r="BW202" s="299">
        <f t="shared" si="519"/>
        <v>0</v>
      </c>
      <c r="BX202" s="295">
        <f t="shared" si="520"/>
        <v>0</v>
      </c>
      <c r="BY202" s="382"/>
      <c r="BZ202" s="299">
        <f t="shared" si="528"/>
        <v>0</v>
      </c>
      <c r="CA202" s="295">
        <f t="shared" si="540"/>
        <v>0</v>
      </c>
      <c r="CB202" s="323"/>
      <c r="CC202" s="314">
        <f t="shared" si="541"/>
        <v>0</v>
      </c>
      <c r="CD202" s="326"/>
      <c r="CE202" s="299">
        <f t="shared" si="521"/>
        <v>0</v>
      </c>
      <c r="CF202" s="284">
        <f t="shared" si="542"/>
        <v>0</v>
      </c>
      <c r="CG202" s="323"/>
      <c r="CH202" s="302">
        <f t="shared" si="389"/>
        <v>0</v>
      </c>
      <c r="CI202" s="108">
        <f t="shared" si="522"/>
        <v>0</v>
      </c>
      <c r="CJ202" s="200">
        <f t="shared" si="523"/>
        <v>0</v>
      </c>
      <c r="CK202" s="197">
        <f t="shared" si="549"/>
        <v>0</v>
      </c>
      <c r="CL202" s="203">
        <f t="shared" si="524"/>
        <v>12</v>
      </c>
      <c r="CM202" s="4">
        <f>U202*Jahresdaten!$AD$2</f>
        <v>0</v>
      </c>
      <c r="CN202" s="112">
        <f>CJ202*Jahresdaten!$AD$2</f>
        <v>0</v>
      </c>
      <c r="CO202" s="366"/>
      <c r="CP202" s="116">
        <f>U202*Jahresdaten!$AD$3</f>
        <v>0</v>
      </c>
      <c r="CQ202" s="12">
        <f>CJ202*Jahresdaten!$AD$3</f>
        <v>0</v>
      </c>
      <c r="CR202" s="353"/>
      <c r="CS202" s="14"/>
      <c r="CT202" s="136"/>
      <c r="CU202" s="140" t="str">
        <f>IF(CT202=0,"",CT202*'Vergleich Holz Strom'!$B$2)</f>
        <v/>
      </c>
      <c r="CV202" s="353"/>
      <c r="CW202" s="366"/>
      <c r="CX202" s="345"/>
      <c r="CY202" s="345"/>
      <c r="CZ202" s="345"/>
      <c r="DA202" s="348"/>
      <c r="DB202" s="94"/>
      <c r="DC202" s="88">
        <f t="shared" si="453"/>
        <v>33486.261333333256</v>
      </c>
      <c r="DD202" s="94"/>
      <c r="DE202" s="88">
        <f t="shared" si="465"/>
        <v>-26136.112547000001</v>
      </c>
      <c r="DF202" s="100" t="e">
        <f ca="1">BE202+(SUM(CS194:CS205)/12)</f>
        <v>#N/A</v>
      </c>
      <c r="DG202" s="351"/>
      <c r="DH202" s="8">
        <f t="shared" si="529"/>
        <v>0</v>
      </c>
      <c r="DI202" s="123">
        <f t="shared" si="478"/>
        <v>17200</v>
      </c>
      <c r="DJ202" s="2">
        <f t="shared" si="530"/>
        <v>0</v>
      </c>
      <c r="DK202" s="127">
        <f>DK205/12*9</f>
        <v>5850</v>
      </c>
      <c r="DL202" s="2">
        <f t="shared" si="531"/>
        <v>650</v>
      </c>
      <c r="DM202" s="130">
        <f t="shared" si="532"/>
        <v>0</v>
      </c>
      <c r="DN202" s="3">
        <f>DN205/12*9</f>
        <v>2250</v>
      </c>
      <c r="DO202" s="130">
        <f t="shared" si="533"/>
        <v>250</v>
      </c>
      <c r="DP202" s="4">
        <f t="shared" si="534"/>
        <v>0</v>
      </c>
      <c r="DQ202" s="116">
        <f t="shared" si="535"/>
        <v>9100</v>
      </c>
      <c r="DR202" s="116">
        <f t="shared" si="543"/>
        <v>300</v>
      </c>
    </row>
    <row r="203" spans="1:122" ht="14.25" customHeight="1" thickBot="1" x14ac:dyDescent="0.2">
      <c r="A203" s="416"/>
      <c r="B203" s="16">
        <v>49491</v>
      </c>
      <c r="C203" s="207">
        <f>'PV-Felder'!$I$8</f>
        <v>3593.8</v>
      </c>
      <c r="D203" s="351"/>
      <c r="E203" s="61">
        <v>0</v>
      </c>
      <c r="F203" s="351"/>
      <c r="G203" s="56" t="e">
        <f t="shared" ca="1" si="509"/>
        <v>#N/A</v>
      </c>
      <c r="H203" s="351"/>
      <c r="I203" s="61">
        <v>0</v>
      </c>
      <c r="J203" s="351"/>
      <c r="K203" s="61">
        <v>0</v>
      </c>
      <c r="L203" s="351"/>
      <c r="M203" s="65">
        <f t="shared" si="536"/>
        <v>0</v>
      </c>
      <c r="N203" s="373"/>
      <c r="O203" s="288"/>
      <c r="P203" s="288"/>
      <c r="Q203" s="286">
        <f t="shared" si="510"/>
        <v>0</v>
      </c>
      <c r="R203" s="334"/>
      <c r="S203" s="61">
        <v>0</v>
      </c>
      <c r="T203" s="376"/>
      <c r="U203" s="61">
        <v>0</v>
      </c>
      <c r="V203" s="342"/>
      <c r="W203" s="61">
        <v>0</v>
      </c>
      <c r="X203" s="342"/>
      <c r="Y203" s="211" t="e">
        <f t="shared" si="444"/>
        <v>#N/A</v>
      </c>
      <c r="Z203" s="370"/>
      <c r="AA203" s="61">
        <v>0</v>
      </c>
      <c r="AB203" s="351"/>
      <c r="AC203" s="61">
        <v>0</v>
      </c>
      <c r="AD203" s="351"/>
      <c r="AE203" s="73" t="e">
        <f t="shared" si="472"/>
        <v>#N/A</v>
      </c>
      <c r="AF203" s="356"/>
      <c r="AG203" s="73" t="e">
        <f t="shared" si="473"/>
        <v>#N/A</v>
      </c>
      <c r="AH203" s="356"/>
      <c r="AI203" s="221">
        <f t="shared" si="537"/>
        <v>29.26</v>
      </c>
      <c r="AJ203" s="78">
        <f t="shared" ref="AJ203:AP203" si="555">AJ202</f>
        <v>0.26750000000000002</v>
      </c>
      <c r="AK203" s="79">
        <f t="shared" si="555"/>
        <v>9.9166666666666661</v>
      </c>
      <c r="AL203" s="80">
        <f t="shared" si="555"/>
        <v>187</v>
      </c>
      <c r="AM203" s="78">
        <f t="shared" si="555"/>
        <v>9.737942583732058E-2</v>
      </c>
      <c r="AN203" s="80">
        <f t="shared" si="555"/>
        <v>143</v>
      </c>
      <c r="AO203" s="78">
        <f t="shared" si="555"/>
        <v>0.21099999999999999</v>
      </c>
      <c r="AP203" s="88">
        <f t="shared" si="555"/>
        <v>12</v>
      </c>
      <c r="AQ203" s="64">
        <f t="shared" si="545"/>
        <v>21.5</v>
      </c>
      <c r="AR203" s="64">
        <f t="shared" si="546"/>
        <v>11.5</v>
      </c>
      <c r="AS203" s="88">
        <f t="shared" si="547"/>
        <v>1.1830000000000001</v>
      </c>
      <c r="AT203" s="91">
        <f t="shared" si="420"/>
        <v>283</v>
      </c>
      <c r="AU203" s="94"/>
      <c r="AV203" s="95"/>
      <c r="AW203" s="56">
        <f t="shared" si="512"/>
        <v>0</v>
      </c>
      <c r="AX203" s="351"/>
      <c r="AY203" s="100">
        <f t="shared" si="551"/>
        <v>9.9166666666666661</v>
      </c>
      <c r="AZ203" s="360"/>
      <c r="BA203" s="91">
        <f t="shared" si="526"/>
        <v>-1928.4458803333387</v>
      </c>
      <c r="BB203" s="5">
        <f t="shared" si="475"/>
        <v>-9.9166666666666661</v>
      </c>
      <c r="BC203" s="363"/>
      <c r="BD203" s="91" t="e">
        <f t="shared" ca="1" si="513"/>
        <v>#N/A</v>
      </c>
      <c r="BE203" s="91" t="e">
        <f t="shared" ca="1" si="514"/>
        <v>#N/A</v>
      </c>
      <c r="BF203" s="91">
        <f t="shared" si="515"/>
        <v>31.833333333333329</v>
      </c>
      <c r="BG203" s="91" t="e">
        <f t="shared" ca="1" si="516"/>
        <v>#N/A</v>
      </c>
      <c r="BH203" s="91" t="e">
        <f t="shared" ca="1" si="392"/>
        <v>#N/A</v>
      </c>
      <c r="BI203" s="10" t="e">
        <f t="shared" ca="1" si="539"/>
        <v>#N/A</v>
      </c>
      <c r="BJ203" s="104">
        <f>((M203+Q203)*AJ203+AK203)+((U203-W203+W203/('Vergleich Holz Strom'!$B$8-0.6))*AO203+AP203)</f>
        <v>21.916666666666664</v>
      </c>
      <c r="BK203" s="10" t="e">
        <f t="shared" ca="1" si="476"/>
        <v>#N/A</v>
      </c>
      <c r="BL203" s="379"/>
      <c r="BM203" s="104" t="e">
        <f t="shared" ca="1" si="527"/>
        <v>#N/A</v>
      </c>
      <c r="BN203" s="40" t="e">
        <f ca="1">IF(ISNUMBER(BK203),BN202+SUMIF(BK194:BK205,"&lt;&gt;#NV",BK194:BK205)/COUNTIF(BK194:BK205,"&lt;&gt;#NV"),#N/A)</f>
        <v>#N/A</v>
      </c>
      <c r="BO203" s="10" t="e">
        <f ca="1">BK203+AT203+AU203</f>
        <v>#N/A</v>
      </c>
      <c r="BP203" s="104" t="e">
        <f t="shared" ca="1" si="477"/>
        <v>#N/A</v>
      </c>
      <c r="BQ203" s="104">
        <f t="shared" ca="1" si="500"/>
        <v>-59573.90417954218</v>
      </c>
      <c r="BR203" s="10">
        <f t="shared" si="517"/>
        <v>9.9166666666666661</v>
      </c>
      <c r="BS203" s="311"/>
      <c r="BT203" s="307"/>
      <c r="BU203" s="295">
        <f t="shared" si="518"/>
        <v>0</v>
      </c>
      <c r="BV203" s="323"/>
      <c r="BW203" s="299">
        <f t="shared" si="519"/>
        <v>0</v>
      </c>
      <c r="BX203" s="295">
        <f t="shared" si="520"/>
        <v>0</v>
      </c>
      <c r="BY203" s="382"/>
      <c r="BZ203" s="299">
        <f t="shared" si="528"/>
        <v>0</v>
      </c>
      <c r="CA203" s="295">
        <f t="shared" si="540"/>
        <v>0</v>
      </c>
      <c r="CB203" s="323"/>
      <c r="CC203" s="314">
        <f t="shared" si="541"/>
        <v>0</v>
      </c>
      <c r="CD203" s="326"/>
      <c r="CE203" s="299">
        <f t="shared" si="521"/>
        <v>0</v>
      </c>
      <c r="CF203" s="284">
        <f t="shared" si="542"/>
        <v>0</v>
      </c>
      <c r="CG203" s="323"/>
      <c r="CH203" s="302">
        <f t="shared" si="389"/>
        <v>0</v>
      </c>
      <c r="CI203" s="108">
        <f t="shared" si="522"/>
        <v>0</v>
      </c>
      <c r="CJ203" s="200">
        <f t="shared" si="523"/>
        <v>0</v>
      </c>
      <c r="CK203" s="197">
        <f t="shared" si="549"/>
        <v>0</v>
      </c>
      <c r="CL203" s="203">
        <f t="shared" si="524"/>
        <v>12</v>
      </c>
      <c r="CM203" s="4">
        <f>U203*Jahresdaten!$AD$2</f>
        <v>0</v>
      </c>
      <c r="CN203" s="112">
        <f>CJ203*Jahresdaten!$AD$2</f>
        <v>0</v>
      </c>
      <c r="CO203" s="366"/>
      <c r="CP203" s="116">
        <f>U203*Jahresdaten!$AD$3</f>
        <v>0</v>
      </c>
      <c r="CQ203" s="12">
        <f>CJ203*Jahresdaten!$AD$3</f>
        <v>0</v>
      </c>
      <c r="CR203" s="353"/>
      <c r="CS203" s="14"/>
      <c r="CT203" s="136"/>
      <c r="CU203" s="140" t="str">
        <f>IF(CT203=0,"",CT203*'Vergleich Holz Strom'!$B$2)</f>
        <v/>
      </c>
      <c r="CV203" s="353"/>
      <c r="CW203" s="366"/>
      <c r="CX203" s="345"/>
      <c r="CY203" s="345"/>
      <c r="CZ203" s="345"/>
      <c r="DA203" s="348"/>
      <c r="DB203" s="94"/>
      <c r="DC203" s="88">
        <f t="shared" si="453"/>
        <v>33663.344666666591</v>
      </c>
      <c r="DD203" s="94"/>
      <c r="DE203" s="88">
        <f t="shared" si="465"/>
        <v>-26279.112547000001</v>
      </c>
      <c r="DF203" s="100" t="e">
        <f ca="1">BE203+(SUM(CS194:CS205)/12)</f>
        <v>#N/A</v>
      </c>
      <c r="DG203" s="351"/>
      <c r="DH203" s="8">
        <f t="shared" si="529"/>
        <v>0</v>
      </c>
      <c r="DI203" s="123">
        <f t="shared" si="478"/>
        <v>18250</v>
      </c>
      <c r="DJ203" s="2">
        <f t="shared" si="530"/>
        <v>0</v>
      </c>
      <c r="DK203" s="127">
        <f>DK205/12*10</f>
        <v>6500</v>
      </c>
      <c r="DL203" s="2">
        <f t="shared" si="531"/>
        <v>650</v>
      </c>
      <c r="DM203" s="130">
        <f t="shared" si="532"/>
        <v>0</v>
      </c>
      <c r="DN203" s="3">
        <f>DN205/12*10</f>
        <v>2500</v>
      </c>
      <c r="DO203" s="130">
        <f t="shared" si="533"/>
        <v>250</v>
      </c>
      <c r="DP203" s="4">
        <f t="shared" si="534"/>
        <v>0</v>
      </c>
      <c r="DQ203" s="116">
        <f t="shared" si="535"/>
        <v>9250</v>
      </c>
      <c r="DR203" s="116">
        <f t="shared" si="543"/>
        <v>150</v>
      </c>
    </row>
    <row r="204" spans="1:122" ht="14.25" customHeight="1" thickBot="1" x14ac:dyDescent="0.2">
      <c r="A204" s="416"/>
      <c r="B204" s="16">
        <v>49522</v>
      </c>
      <c r="C204" s="207">
        <f>'PV-Felder'!$I$9</f>
        <v>3065.7</v>
      </c>
      <c r="D204" s="351"/>
      <c r="E204" s="61">
        <v>0</v>
      </c>
      <c r="F204" s="351"/>
      <c r="G204" s="56" t="e">
        <f t="shared" ca="1" si="509"/>
        <v>#N/A</v>
      </c>
      <c r="H204" s="351"/>
      <c r="I204" s="61">
        <v>0</v>
      </c>
      <c r="J204" s="351"/>
      <c r="K204" s="61">
        <v>0</v>
      </c>
      <c r="L204" s="351"/>
      <c r="M204" s="65">
        <f t="shared" si="536"/>
        <v>0</v>
      </c>
      <c r="N204" s="373"/>
      <c r="O204" s="288"/>
      <c r="P204" s="288"/>
      <c r="Q204" s="286">
        <f t="shared" si="510"/>
        <v>0</v>
      </c>
      <c r="R204" s="334"/>
      <c r="S204" s="61">
        <v>0</v>
      </c>
      <c r="T204" s="376"/>
      <c r="U204" s="61">
        <v>0</v>
      </c>
      <c r="V204" s="342"/>
      <c r="W204" s="61">
        <v>0</v>
      </c>
      <c r="X204" s="342"/>
      <c r="Y204" s="211" t="e">
        <f t="shared" si="444"/>
        <v>#N/A</v>
      </c>
      <c r="Z204" s="370"/>
      <c r="AA204" s="61">
        <v>0</v>
      </c>
      <c r="AB204" s="351"/>
      <c r="AC204" s="61">
        <v>0</v>
      </c>
      <c r="AD204" s="351"/>
      <c r="AE204" s="73" t="e">
        <f t="shared" si="472"/>
        <v>#N/A</v>
      </c>
      <c r="AF204" s="356"/>
      <c r="AG204" s="73" t="e">
        <f t="shared" si="473"/>
        <v>#N/A</v>
      </c>
      <c r="AH204" s="356"/>
      <c r="AI204" s="221">
        <f t="shared" si="537"/>
        <v>29.26</v>
      </c>
      <c r="AJ204" s="78">
        <f t="shared" ref="AJ204:AP204" si="556">AJ203</f>
        <v>0.26750000000000002</v>
      </c>
      <c r="AK204" s="79">
        <f t="shared" si="556"/>
        <v>9.9166666666666661</v>
      </c>
      <c r="AL204" s="80">
        <f t="shared" si="556"/>
        <v>187</v>
      </c>
      <c r="AM204" s="78">
        <f t="shared" si="556"/>
        <v>9.737942583732058E-2</v>
      </c>
      <c r="AN204" s="80">
        <f t="shared" si="556"/>
        <v>143</v>
      </c>
      <c r="AO204" s="78">
        <f t="shared" si="556"/>
        <v>0.21099999999999999</v>
      </c>
      <c r="AP204" s="88">
        <f t="shared" si="556"/>
        <v>12</v>
      </c>
      <c r="AQ204" s="64">
        <f t="shared" si="545"/>
        <v>21.5</v>
      </c>
      <c r="AR204" s="64">
        <f t="shared" si="546"/>
        <v>11.5</v>
      </c>
      <c r="AS204" s="88">
        <f t="shared" si="547"/>
        <v>1.1830000000000001</v>
      </c>
      <c r="AT204" s="91">
        <f t="shared" si="420"/>
        <v>283</v>
      </c>
      <c r="AU204" s="94"/>
      <c r="AV204" s="95"/>
      <c r="AW204" s="56">
        <f t="shared" si="512"/>
        <v>0</v>
      </c>
      <c r="AX204" s="351"/>
      <c r="AY204" s="100">
        <f t="shared" si="551"/>
        <v>9.9166666666666661</v>
      </c>
      <c r="AZ204" s="360"/>
      <c r="BA204" s="91">
        <f t="shared" si="526"/>
        <v>-1938.3625470000054</v>
      </c>
      <c r="BB204" s="5">
        <f t="shared" si="475"/>
        <v>-9.9166666666666661</v>
      </c>
      <c r="BC204" s="363"/>
      <c r="BD204" s="91" t="e">
        <f t="shared" ca="1" si="513"/>
        <v>#N/A</v>
      </c>
      <c r="BE204" s="91" t="e">
        <f t="shared" ca="1" si="514"/>
        <v>#N/A</v>
      </c>
      <c r="BF204" s="91">
        <f t="shared" si="515"/>
        <v>31.833333333333329</v>
      </c>
      <c r="BG204" s="91" t="e">
        <f t="shared" ca="1" si="516"/>
        <v>#N/A</v>
      </c>
      <c r="BH204" s="91" t="e">
        <f t="shared" ca="1" si="392"/>
        <v>#N/A</v>
      </c>
      <c r="BI204" s="10" t="e">
        <f t="shared" ca="1" si="539"/>
        <v>#N/A</v>
      </c>
      <c r="BJ204" s="104">
        <f>((M204+Q204)*AJ204+AK204)+((U204-W204+W204/('Vergleich Holz Strom'!$B$8-0.6))*AO204+AP204)</f>
        <v>21.916666666666664</v>
      </c>
      <c r="BK204" s="10" t="e">
        <f t="shared" ca="1" si="476"/>
        <v>#N/A</v>
      </c>
      <c r="BL204" s="379"/>
      <c r="BM204" s="104" t="e">
        <f t="shared" ca="1" si="527"/>
        <v>#N/A</v>
      </c>
      <c r="BN204" s="40" t="e">
        <f ca="1">IF(ISNUMBER(BK204),BN203+SUMIF(BK194:BK205,"&lt;&gt;#NV",BK194:BK205)/COUNTIF(BK194:BK205,"&lt;&gt;#NV"),#N/A)</f>
        <v>#N/A</v>
      </c>
      <c r="BO204" s="10" t="e">
        <f t="shared" ref="BO204:BO214" ca="1" si="557">BK204+AT204+AU204</f>
        <v>#N/A</v>
      </c>
      <c r="BP204" s="104" t="e">
        <f t="shared" ca="1" si="477"/>
        <v>#N/A</v>
      </c>
      <c r="BQ204" s="104">
        <f t="shared" ca="1" si="500"/>
        <v>-59557.703512299726</v>
      </c>
      <c r="BR204" s="10">
        <f t="shared" si="517"/>
        <v>9.9166666666666661</v>
      </c>
      <c r="BS204" s="311"/>
      <c r="BT204" s="307"/>
      <c r="BU204" s="295">
        <f t="shared" si="518"/>
        <v>0</v>
      </c>
      <c r="BV204" s="323"/>
      <c r="BW204" s="299">
        <f t="shared" si="519"/>
        <v>0</v>
      </c>
      <c r="BX204" s="295">
        <f t="shared" si="520"/>
        <v>0</v>
      </c>
      <c r="BY204" s="382"/>
      <c r="BZ204" s="299">
        <f t="shared" si="528"/>
        <v>0</v>
      </c>
      <c r="CA204" s="295">
        <f t="shared" si="540"/>
        <v>0</v>
      </c>
      <c r="CB204" s="323"/>
      <c r="CC204" s="314">
        <f t="shared" si="541"/>
        <v>0</v>
      </c>
      <c r="CD204" s="326"/>
      <c r="CE204" s="299">
        <f t="shared" si="521"/>
        <v>0</v>
      </c>
      <c r="CF204" s="284">
        <f t="shared" si="542"/>
        <v>0</v>
      </c>
      <c r="CG204" s="323"/>
      <c r="CH204" s="302">
        <f t="shared" ref="CH204:CH267" si="558">CH203+CF204</f>
        <v>0</v>
      </c>
      <c r="CI204" s="108">
        <f t="shared" si="522"/>
        <v>0</v>
      </c>
      <c r="CJ204" s="200">
        <f t="shared" si="523"/>
        <v>0</v>
      </c>
      <c r="CK204" s="197">
        <f t="shared" si="549"/>
        <v>0</v>
      </c>
      <c r="CL204" s="203">
        <f t="shared" si="524"/>
        <v>12</v>
      </c>
      <c r="CM204" s="4">
        <f>U204*Jahresdaten!$AD$2</f>
        <v>0</v>
      </c>
      <c r="CN204" s="112">
        <f>CJ204*Jahresdaten!$AD$2</f>
        <v>0</v>
      </c>
      <c r="CO204" s="366"/>
      <c r="CP204" s="116">
        <f>U204*Jahresdaten!$AD$3</f>
        <v>0</v>
      </c>
      <c r="CQ204" s="12">
        <f>CJ204*Jahresdaten!$AD$3</f>
        <v>0</v>
      </c>
      <c r="CR204" s="353"/>
      <c r="CS204" s="14"/>
      <c r="CT204" s="136"/>
      <c r="CU204" s="140" t="str">
        <f>IF(CT204=0,"",CT204*'Vergleich Holz Strom'!$B$2)</f>
        <v/>
      </c>
      <c r="CV204" s="353"/>
      <c r="CW204" s="366"/>
      <c r="CX204" s="345"/>
      <c r="CY204" s="345"/>
      <c r="CZ204" s="345"/>
      <c r="DA204" s="348"/>
      <c r="DB204" s="94"/>
      <c r="DC204" s="88">
        <f t="shared" si="453"/>
        <v>33840.427999999927</v>
      </c>
      <c r="DD204" s="94"/>
      <c r="DE204" s="88">
        <f t="shared" si="465"/>
        <v>-26422.112547000001</v>
      </c>
      <c r="DF204" s="100" t="e">
        <f ca="1">BE204+(SUM(CS194:CS205)/12)</f>
        <v>#N/A</v>
      </c>
      <c r="DG204" s="351"/>
      <c r="DH204" s="8">
        <f t="shared" si="529"/>
        <v>0</v>
      </c>
      <c r="DI204" s="123">
        <f t="shared" si="478"/>
        <v>19300</v>
      </c>
      <c r="DJ204" s="2">
        <f t="shared" si="530"/>
        <v>0</v>
      </c>
      <c r="DK204" s="127">
        <f>DK205/12*11</f>
        <v>7150</v>
      </c>
      <c r="DL204" s="2">
        <f t="shared" si="531"/>
        <v>650</v>
      </c>
      <c r="DM204" s="130">
        <f t="shared" si="532"/>
        <v>0</v>
      </c>
      <c r="DN204" s="3">
        <f>DN205/12*11</f>
        <v>2750</v>
      </c>
      <c r="DO204" s="130">
        <f t="shared" si="533"/>
        <v>250</v>
      </c>
      <c r="DP204" s="4">
        <f t="shared" si="534"/>
        <v>0</v>
      </c>
      <c r="DQ204" s="116">
        <f t="shared" si="535"/>
        <v>9400</v>
      </c>
      <c r="DR204" s="116">
        <f t="shared" si="543"/>
        <v>150</v>
      </c>
    </row>
    <row r="205" spans="1:122" s="28" customFormat="1" ht="15" customHeight="1" thickBot="1" x14ac:dyDescent="0.2">
      <c r="A205" s="417"/>
      <c r="B205" s="18">
        <v>49553</v>
      </c>
      <c r="C205" s="208">
        <f>'PV-Felder'!$I$10</f>
        <v>2246.7000000000003</v>
      </c>
      <c r="D205" s="352"/>
      <c r="E205" s="63">
        <v>0</v>
      </c>
      <c r="F205" s="352"/>
      <c r="G205" s="57" t="e">
        <f t="shared" ca="1" si="509"/>
        <v>#N/A</v>
      </c>
      <c r="H205" s="352"/>
      <c r="I205" s="63">
        <v>0</v>
      </c>
      <c r="J205" s="352"/>
      <c r="K205" s="63">
        <v>0</v>
      </c>
      <c r="L205" s="352"/>
      <c r="M205" s="67">
        <f t="shared" si="536"/>
        <v>0</v>
      </c>
      <c r="N205" s="374"/>
      <c r="O205" s="290"/>
      <c r="P205" s="290"/>
      <c r="Q205" s="289">
        <f t="shared" si="510"/>
        <v>0</v>
      </c>
      <c r="R205" s="334"/>
      <c r="S205" s="63">
        <v>0</v>
      </c>
      <c r="T205" s="377"/>
      <c r="U205" s="63">
        <v>0</v>
      </c>
      <c r="V205" s="343"/>
      <c r="W205" s="63">
        <v>0</v>
      </c>
      <c r="X205" s="343"/>
      <c r="Y205" s="213" t="e">
        <f t="shared" si="444"/>
        <v>#N/A</v>
      </c>
      <c r="Z205" s="371"/>
      <c r="AA205" s="63">
        <v>0</v>
      </c>
      <c r="AB205" s="352"/>
      <c r="AC205" s="63">
        <v>0</v>
      </c>
      <c r="AD205" s="352"/>
      <c r="AE205" s="75" t="e">
        <f t="shared" si="472"/>
        <v>#N/A</v>
      </c>
      <c r="AF205" s="357"/>
      <c r="AG205" s="75" t="e">
        <f t="shared" si="473"/>
        <v>#N/A</v>
      </c>
      <c r="AH205" s="357"/>
      <c r="AI205" s="223">
        <f>AI204</f>
        <v>29.26</v>
      </c>
      <c r="AJ205" s="83">
        <f t="shared" ref="AJ205:AP205" si="559">AJ204</f>
        <v>0.26750000000000002</v>
      </c>
      <c r="AK205" s="21">
        <f t="shared" si="559"/>
        <v>9.9166666666666661</v>
      </c>
      <c r="AL205" s="84">
        <f t="shared" si="559"/>
        <v>187</v>
      </c>
      <c r="AM205" s="83">
        <f t="shared" si="559"/>
        <v>9.737942583732058E-2</v>
      </c>
      <c r="AN205" s="84">
        <f t="shared" si="559"/>
        <v>143</v>
      </c>
      <c r="AO205" s="83">
        <f t="shared" si="559"/>
        <v>0.21099999999999999</v>
      </c>
      <c r="AP205" s="90">
        <f t="shared" si="559"/>
        <v>12</v>
      </c>
      <c r="AQ205" s="125">
        <f t="shared" si="545"/>
        <v>21.5</v>
      </c>
      <c r="AR205" s="125">
        <f t="shared" si="546"/>
        <v>11.5</v>
      </c>
      <c r="AS205" s="92">
        <f t="shared" si="547"/>
        <v>1.1830000000000001</v>
      </c>
      <c r="AT205" s="92">
        <f t="shared" si="420"/>
        <v>283</v>
      </c>
      <c r="AU205" s="98"/>
      <c r="AV205" s="99"/>
      <c r="AW205" s="57">
        <f t="shared" si="512"/>
        <v>0</v>
      </c>
      <c r="AX205" s="352"/>
      <c r="AY205" s="102">
        <f t="shared" si="551"/>
        <v>9.9166666666666661</v>
      </c>
      <c r="AZ205" s="361"/>
      <c r="BA205" s="92">
        <f t="shared" si="526"/>
        <v>-1948.2792136666721</v>
      </c>
      <c r="BB205" s="22">
        <f t="shared" si="475"/>
        <v>-9.9166666666666661</v>
      </c>
      <c r="BC205" s="364"/>
      <c r="BD205" s="92" t="e">
        <f t="shared" ca="1" si="513"/>
        <v>#N/A</v>
      </c>
      <c r="BE205" s="92" t="e">
        <f t="shared" ca="1" si="514"/>
        <v>#N/A</v>
      </c>
      <c r="BF205" s="92">
        <f t="shared" si="515"/>
        <v>31.833333333333329</v>
      </c>
      <c r="BG205" s="92" t="e">
        <f t="shared" ca="1" si="516"/>
        <v>#N/A</v>
      </c>
      <c r="BH205" s="92" t="e">
        <f t="shared" ca="1" si="392"/>
        <v>#N/A</v>
      </c>
      <c r="BI205" s="24" t="e">
        <f t="shared" ca="1" si="539"/>
        <v>#N/A</v>
      </c>
      <c r="BJ205" s="106">
        <f>((M205+Q205)*AJ205+AK205)+((U205-W205+W205/('Vergleich Holz Strom'!$B$8-0.6))*AO205+AP205)</f>
        <v>21.916666666666664</v>
      </c>
      <c r="BK205" s="24" t="e">
        <f t="shared" ca="1" si="476"/>
        <v>#N/A</v>
      </c>
      <c r="BL205" s="380"/>
      <c r="BM205" s="106" t="e">
        <f t="shared" ca="1" si="527"/>
        <v>#N/A</v>
      </c>
      <c r="BN205" s="226" t="e">
        <f ca="1">IF(ISNUMBER(BK205),BN204+SUMIF(BK194:BK205,"&lt;&gt;#NV",BK194:BK205)/COUNTIF(BK194:BK205,"&lt;&gt;#NV"),#N/A)</f>
        <v>#N/A</v>
      </c>
      <c r="BO205" s="318" t="e">
        <f t="shared" ca="1" si="557"/>
        <v>#N/A</v>
      </c>
      <c r="BP205" s="106" t="e">
        <f t="shared" ca="1" si="477"/>
        <v>#N/A</v>
      </c>
      <c r="BQ205" s="106">
        <f t="shared" ca="1" si="500"/>
        <v>-59541.502845057272</v>
      </c>
      <c r="BR205" s="24">
        <f t="shared" si="517"/>
        <v>9.9166666666666661</v>
      </c>
      <c r="BS205" s="312"/>
      <c r="BT205" s="308"/>
      <c r="BU205" s="296">
        <f t="shared" si="518"/>
        <v>0</v>
      </c>
      <c r="BV205" s="324"/>
      <c r="BW205" s="292">
        <f t="shared" si="519"/>
        <v>0</v>
      </c>
      <c r="BX205" s="295">
        <f t="shared" si="520"/>
        <v>0</v>
      </c>
      <c r="BY205" s="382"/>
      <c r="BZ205" s="299">
        <f t="shared" si="528"/>
        <v>0</v>
      </c>
      <c r="CA205" s="296">
        <f t="shared" si="540"/>
        <v>0</v>
      </c>
      <c r="CB205" s="324"/>
      <c r="CC205" s="315">
        <f t="shared" si="541"/>
        <v>0</v>
      </c>
      <c r="CD205" s="327"/>
      <c r="CE205" s="292">
        <f t="shared" si="521"/>
        <v>0</v>
      </c>
      <c r="CF205" s="296">
        <f t="shared" si="542"/>
        <v>0</v>
      </c>
      <c r="CG205" s="324"/>
      <c r="CH205" s="303">
        <f t="shared" si="558"/>
        <v>0</v>
      </c>
      <c r="CI205" s="110">
        <f t="shared" si="522"/>
        <v>0</v>
      </c>
      <c r="CJ205" s="200">
        <f t="shared" si="523"/>
        <v>0</v>
      </c>
      <c r="CK205" s="25">
        <f t="shared" si="549"/>
        <v>0</v>
      </c>
      <c r="CL205" s="204">
        <f t="shared" si="524"/>
        <v>12</v>
      </c>
      <c r="CM205" s="26">
        <f>U205*Jahresdaten!$AD$2</f>
        <v>0</v>
      </c>
      <c r="CN205" s="114">
        <f>CJ205*Jahresdaten!$AD$2</f>
        <v>0</v>
      </c>
      <c r="CO205" s="346"/>
      <c r="CP205" s="118">
        <f>U205*Jahresdaten!$AD$3</f>
        <v>0</v>
      </c>
      <c r="CQ205" s="25">
        <f>CJ205*Jahresdaten!$AD$3</f>
        <v>0</v>
      </c>
      <c r="CR205" s="354"/>
      <c r="CS205" s="23"/>
      <c r="CT205" s="138"/>
      <c r="CU205" s="141" t="str">
        <f>IF(CT205=0,"",CT205*'Vergleich Holz Strom'!$B$2)</f>
        <v/>
      </c>
      <c r="CV205" s="354"/>
      <c r="CW205" s="346"/>
      <c r="CX205" s="346"/>
      <c r="CY205" s="346"/>
      <c r="CZ205" s="346"/>
      <c r="DA205" s="349"/>
      <c r="DB205" s="98"/>
      <c r="DC205" s="90">
        <f t="shared" si="453"/>
        <v>34017.511333333263</v>
      </c>
      <c r="DD205" s="98"/>
      <c r="DE205" s="90">
        <f t="shared" si="465"/>
        <v>-26565.112547000001</v>
      </c>
      <c r="DF205" s="102" t="e">
        <f ca="1">BE205+(SUM(CS194:CS205)/12)</f>
        <v>#N/A</v>
      </c>
      <c r="DG205" s="352"/>
      <c r="DH205" s="19">
        <f t="shared" si="529"/>
        <v>0</v>
      </c>
      <c r="DI205" s="125">
        <f t="shared" si="478"/>
        <v>20800</v>
      </c>
      <c r="DJ205" s="20">
        <f t="shared" si="530"/>
        <v>0</v>
      </c>
      <c r="DK205" s="129">
        <f>DK193</f>
        <v>7800</v>
      </c>
      <c r="DL205" s="20">
        <f t="shared" si="531"/>
        <v>650</v>
      </c>
      <c r="DM205" s="132">
        <f t="shared" si="532"/>
        <v>0</v>
      </c>
      <c r="DN205" s="27">
        <f>DN193</f>
        <v>3000</v>
      </c>
      <c r="DO205" s="132">
        <f t="shared" si="533"/>
        <v>250</v>
      </c>
      <c r="DP205" s="26">
        <f t="shared" si="534"/>
        <v>0</v>
      </c>
      <c r="DQ205" s="118">
        <f>DQ193</f>
        <v>10000</v>
      </c>
      <c r="DR205" s="118">
        <f>DR193</f>
        <v>600</v>
      </c>
    </row>
    <row r="206" spans="1:122" ht="15" customHeight="1" thickBot="1" x14ac:dyDescent="0.2">
      <c r="A206" s="415" t="s">
        <v>175</v>
      </c>
      <c r="B206" s="16">
        <v>49583</v>
      </c>
      <c r="C206" s="207">
        <f>'PV-Felder'!$I$11</f>
        <v>1416.7</v>
      </c>
      <c r="D206" s="358">
        <f>SUMIF(E206:E217,"&gt;0",C206:C217)</f>
        <v>0</v>
      </c>
      <c r="E206" s="61">
        <v>0</v>
      </c>
      <c r="F206" s="368">
        <f>SUM(E206:E217)</f>
        <v>0</v>
      </c>
      <c r="G206" s="58" t="e">
        <f t="shared" ca="1" si="509"/>
        <v>#N/A</v>
      </c>
      <c r="H206" s="358" t="e">
        <f ca="1">IF(TODAY()&lt;B206,#N/A,F206-D206)</f>
        <v>#N/A</v>
      </c>
      <c r="I206" s="61">
        <v>0</v>
      </c>
      <c r="J206" s="368">
        <f>SUM(I206:I217)</f>
        <v>0</v>
      </c>
      <c r="K206" s="61">
        <v>0</v>
      </c>
      <c r="L206" s="368">
        <f>SUM(K206:K217)</f>
        <v>0</v>
      </c>
      <c r="M206" s="66">
        <f t="shared" si="536"/>
        <v>0</v>
      </c>
      <c r="N206" s="372">
        <f>SUM(M206:M217)</f>
        <v>0</v>
      </c>
      <c r="Q206" s="287">
        <f t="shared" si="510"/>
        <v>0</v>
      </c>
      <c r="R206" s="333">
        <f>SUM(Q206:Q217)</f>
        <v>0</v>
      </c>
      <c r="S206" s="61">
        <v>0</v>
      </c>
      <c r="T206" s="375">
        <f>SUM(S206:S217)</f>
        <v>0</v>
      </c>
      <c r="U206" s="61">
        <v>0</v>
      </c>
      <c r="V206" s="341">
        <f>SUM(U206:U217)</f>
        <v>0</v>
      </c>
      <c r="W206" s="61">
        <v>0</v>
      </c>
      <c r="X206" s="341">
        <f>SUM(W206:W217)</f>
        <v>0</v>
      </c>
      <c r="Y206" s="211" t="e">
        <f t="shared" si="444"/>
        <v>#N/A</v>
      </c>
      <c r="Z206" s="369">
        <f>N206+T206+V206</f>
        <v>0</v>
      </c>
      <c r="AA206" s="62">
        <v>0</v>
      </c>
      <c r="AB206" s="368">
        <f>SUM(AA206:AA217)</f>
        <v>0</v>
      </c>
      <c r="AC206" s="62">
        <v>0</v>
      </c>
      <c r="AD206" s="368">
        <f>SUM(AC206:AC217)</f>
        <v>0</v>
      </c>
      <c r="AE206" s="74" t="e">
        <f t="shared" si="472"/>
        <v>#N/A</v>
      </c>
      <c r="AF206" s="355" t="e">
        <f>IF(SUMIF(AE206:AE217,"&gt;0")&gt;0,SUMIF(AE206:AE217,"&gt;0")/COUNTIF(AE206:AE217,"&gt;0"),#N/A)</f>
        <v>#N/A</v>
      </c>
      <c r="AG206" s="73" t="e">
        <f t="shared" si="473"/>
        <v>#N/A</v>
      </c>
      <c r="AH206" s="355" t="e">
        <f>IF(SUMIF(AG206:AG217,"&gt;0")&gt;0,SUMIF(AG206:AG217,"&gt;0")/COUNTIF(AG206:AG217,"&gt;0"),#N/A)</f>
        <v>#N/A</v>
      </c>
      <c r="AI206" s="222">
        <f>AI205</f>
        <v>29.26</v>
      </c>
      <c r="AJ206" s="78">
        <f t="shared" ref="AJ206:AP206" si="560">AJ205</f>
        <v>0.26750000000000002</v>
      </c>
      <c r="AK206" s="79">
        <f t="shared" si="560"/>
        <v>9.9166666666666661</v>
      </c>
      <c r="AL206" s="80">
        <f t="shared" si="560"/>
        <v>187</v>
      </c>
      <c r="AM206" s="78">
        <f t="shared" si="560"/>
        <v>9.737942583732058E-2</v>
      </c>
      <c r="AN206" s="80">
        <f t="shared" si="560"/>
        <v>143</v>
      </c>
      <c r="AO206" s="78">
        <f t="shared" si="560"/>
        <v>0.21099999999999999</v>
      </c>
      <c r="AP206" s="88">
        <f t="shared" si="560"/>
        <v>12</v>
      </c>
      <c r="AQ206" s="64">
        <f t="shared" si="545"/>
        <v>21.5</v>
      </c>
      <c r="AR206" s="64">
        <f t="shared" si="546"/>
        <v>11.5</v>
      </c>
      <c r="AS206" s="88">
        <f t="shared" si="547"/>
        <v>1.1830000000000001</v>
      </c>
      <c r="AT206" s="91">
        <f t="shared" si="420"/>
        <v>283</v>
      </c>
      <c r="AU206" s="94"/>
      <c r="AV206" s="95"/>
      <c r="AW206" s="56">
        <f t="shared" si="512"/>
        <v>0</v>
      </c>
      <c r="AX206" s="358">
        <f>SUM(AW206:AW217)</f>
        <v>0</v>
      </c>
      <c r="AY206" s="100">
        <f t="shared" si="551"/>
        <v>9.9166666666666661</v>
      </c>
      <c r="AZ206" s="359">
        <f>SUM(AY206:AY217)</f>
        <v>119.00000000000001</v>
      </c>
      <c r="BA206" s="103">
        <f>BA205-AY206</f>
        <v>-1958.1958803333389</v>
      </c>
      <c r="BB206" s="5">
        <f t="shared" si="475"/>
        <v>-9.9166666666666661</v>
      </c>
      <c r="BC206" s="362">
        <f>SUM(AY206:AY217)/12</f>
        <v>9.9166666666666679</v>
      </c>
      <c r="BD206" s="91" t="e">
        <f t="shared" ca="1" si="513"/>
        <v>#N/A</v>
      </c>
      <c r="BE206" s="91" t="e">
        <f t="shared" ca="1" si="514"/>
        <v>#N/A</v>
      </c>
      <c r="BF206" s="91">
        <f t="shared" si="515"/>
        <v>31.833333333333329</v>
      </c>
      <c r="BG206" s="91" t="e">
        <f t="shared" ca="1" si="516"/>
        <v>#N/A</v>
      </c>
      <c r="BH206" s="91" t="e">
        <f t="shared" ref="BH206:BH269" ca="1" si="561">BF206-BE206</f>
        <v>#N/A</v>
      </c>
      <c r="BI206" s="10" t="e">
        <f t="shared" ca="1" si="539"/>
        <v>#N/A</v>
      </c>
      <c r="BJ206" s="104">
        <f>((M206+Q206)*AJ206+AK206)+((U206-W206+W206/('Vergleich Holz Strom'!$B$8-0.6))*AO206+AP206)</f>
        <v>21.916666666666664</v>
      </c>
      <c r="BK206" s="10" t="e">
        <f t="shared" ca="1" si="476"/>
        <v>#N/A</v>
      </c>
      <c r="BL206" s="378">
        <f ca="1">SUMIF(BK206:BK217,"&lt;&gt;#NV",BK206:BK217)</f>
        <v>0</v>
      </c>
      <c r="BM206" s="104" t="e">
        <f t="shared" ca="1" si="527"/>
        <v>#N/A</v>
      </c>
      <c r="BN206" s="40" t="e">
        <f ca="1">IF(ISNUMBER(BK206),BN205+SUMIF(BK206:BK217,"&lt;&gt;#NV",BK206:BK217)/COUNTIF(BK206:BK217,"&lt;&gt;#NV"),#N/A)</f>
        <v>#N/A</v>
      </c>
      <c r="BO206" s="10" t="e">
        <f t="shared" ca="1" si="557"/>
        <v>#N/A</v>
      </c>
      <c r="BP206" s="105" t="e">
        <f t="shared" ca="1" si="477"/>
        <v>#N/A</v>
      </c>
      <c r="BQ206" s="104">
        <f t="shared" ca="1" si="500"/>
        <v>-59529.502845057272</v>
      </c>
      <c r="BR206" s="10">
        <f t="shared" si="517"/>
        <v>9.9166666666666661</v>
      </c>
      <c r="BS206" s="311"/>
      <c r="BT206" s="307"/>
      <c r="BU206" s="295">
        <f t="shared" si="518"/>
        <v>0</v>
      </c>
      <c r="BV206" s="322">
        <f>SUM(BU206:BU217)</f>
        <v>0</v>
      </c>
      <c r="BW206" s="300">
        <f t="shared" si="519"/>
        <v>0</v>
      </c>
      <c r="BX206" s="305">
        <f t="shared" si="520"/>
        <v>0</v>
      </c>
      <c r="BY206" s="381">
        <f>SUM(BX206:BX217)</f>
        <v>0</v>
      </c>
      <c r="BZ206" s="300">
        <f t="shared" si="528"/>
        <v>0</v>
      </c>
      <c r="CA206" s="295">
        <f t="shared" si="540"/>
        <v>0</v>
      </c>
      <c r="CB206" s="322">
        <f>SUM(CA206:CA217)</f>
        <v>0</v>
      </c>
      <c r="CC206" s="314">
        <f t="shared" si="541"/>
        <v>0</v>
      </c>
      <c r="CD206" s="325">
        <f>SUM(CC206:CC217)</f>
        <v>0</v>
      </c>
      <c r="CE206" s="299">
        <f t="shared" si="521"/>
        <v>0</v>
      </c>
      <c r="CF206" s="284">
        <f t="shared" si="542"/>
        <v>0</v>
      </c>
      <c r="CG206" s="328">
        <f>SUM(CF206:CF217)</f>
        <v>0</v>
      </c>
      <c r="CH206" s="302">
        <f t="shared" si="558"/>
        <v>0</v>
      </c>
      <c r="CI206" s="108">
        <f t="shared" si="522"/>
        <v>0</v>
      </c>
      <c r="CJ206" s="201">
        <f t="shared" si="523"/>
        <v>0</v>
      </c>
      <c r="CK206" s="197">
        <f t="shared" si="549"/>
        <v>0</v>
      </c>
      <c r="CL206" s="203">
        <f t="shared" si="524"/>
        <v>12</v>
      </c>
      <c r="CM206" s="4">
        <f>U206*Jahresdaten!$AD$2</f>
        <v>0</v>
      </c>
      <c r="CN206" s="112">
        <f>CJ206*Jahresdaten!$AD$2</f>
        <v>0</v>
      </c>
      <c r="CO206" s="365">
        <f>CW206*Jahresdaten!$AD$2</f>
        <v>856.59076092206669</v>
      </c>
      <c r="CP206" s="116">
        <f>U206*Jahresdaten!$AD$3</f>
        <v>0</v>
      </c>
      <c r="CQ206" s="12">
        <f>CJ206*Jahresdaten!$AD$3</f>
        <v>0</v>
      </c>
      <c r="CR206" s="367">
        <f>CW206*Jahresdaten!$AD$3</f>
        <v>312.40923907793319</v>
      </c>
      <c r="CS206" s="14">
        <f>CS194</f>
        <v>1169</v>
      </c>
      <c r="CT206" s="136">
        <f>CT194</f>
        <v>12</v>
      </c>
      <c r="CU206" s="140">
        <f>IF(CT206=0,"",CT206*'Vergleich Holz Strom'!$B$2)</f>
        <v>25800</v>
      </c>
      <c r="CV206" s="120" t="s">
        <v>7</v>
      </c>
      <c r="CW206" s="365">
        <f>CV207+CV213</f>
        <v>1169</v>
      </c>
      <c r="CX206" s="344">
        <f>SUM(CS206:CS217)/SUM(CU206:CU217)*(SUM(CU206:CU217)+(V206*('Vergleich Holz Strom'!$B$8-0.6)/'Vergleich Holz Strom'!$E$6))</f>
        <v>1169</v>
      </c>
      <c r="CY206" s="344">
        <f>SUM(CU206:CU217)*'Vergleich Holz Strom'!$E$6/('Vergleich Holz Strom'!$B$8-0.6)*(SUM(AJ206:AJ217)/12)+CV207</f>
        <v>1420.8970588235295</v>
      </c>
      <c r="CZ206" s="344">
        <f>SUM(CU206:CU217)*'Vergleich Holz Strom'!$E$6/('Vergleich Holz Strom'!$B$8-0.6)*SUM(AM206:AM217)/12+SUM(CK206:CK217)</f>
        <v>517.25659724176774</v>
      </c>
      <c r="DA206" s="347">
        <f>SUM(CU206:CU217)*'Vergleich Holz Strom'!$E$6/('Vergleich Holz Strom'!$B$8-0.6)*(SUM(AO206:AO217)/12)+SUM(CL206:CL217)</f>
        <v>1264.7823529411764</v>
      </c>
      <c r="DB206" s="94"/>
      <c r="DC206" s="88">
        <f t="shared" si="453"/>
        <v>34194.594666666599</v>
      </c>
      <c r="DD206" s="94"/>
      <c r="DE206" s="88">
        <f t="shared" si="465"/>
        <v>-26708.112547000001</v>
      </c>
      <c r="DF206" s="100" t="e">
        <f ca="1">BE206+(SUM(CS206:CS217)/12)</f>
        <v>#N/A</v>
      </c>
      <c r="DG206" s="350">
        <f ca="1">SUMIF(DF206:DF217,"&gt;0")</f>
        <v>0</v>
      </c>
      <c r="DH206" s="8">
        <f>M206+S206+U206</f>
        <v>0</v>
      </c>
      <c r="DI206" s="123">
        <f t="shared" si="478"/>
        <v>1850</v>
      </c>
      <c r="DJ206" s="2">
        <f>M206</f>
        <v>0</v>
      </c>
      <c r="DK206" s="127">
        <f>DK217/12*1</f>
        <v>650</v>
      </c>
      <c r="DL206" s="2">
        <f>DL205</f>
        <v>650</v>
      </c>
      <c r="DM206" s="130">
        <f>S206</f>
        <v>0</v>
      </c>
      <c r="DN206" s="3">
        <f>DN217/12*1</f>
        <v>250</v>
      </c>
      <c r="DO206" s="130">
        <f>DO205</f>
        <v>250</v>
      </c>
      <c r="DP206" s="4">
        <f>U206</f>
        <v>0</v>
      </c>
      <c r="DQ206" s="116">
        <f>DR206</f>
        <v>950</v>
      </c>
      <c r="DR206" s="116">
        <f>DR194</f>
        <v>950</v>
      </c>
    </row>
    <row r="207" spans="1:122" ht="14.25" customHeight="1" thickBot="1" x14ac:dyDescent="0.2">
      <c r="A207" s="416"/>
      <c r="B207" s="16">
        <v>49614</v>
      </c>
      <c r="C207" s="207">
        <f>'PV-Felder'!$I$12</f>
        <v>739.6</v>
      </c>
      <c r="D207" s="351"/>
      <c r="E207" s="61">
        <v>0</v>
      </c>
      <c r="F207" s="351"/>
      <c r="G207" s="56" t="e">
        <f t="shared" ca="1" si="509"/>
        <v>#N/A</v>
      </c>
      <c r="H207" s="351"/>
      <c r="I207" s="61">
        <v>0</v>
      </c>
      <c r="J207" s="351"/>
      <c r="K207" s="61">
        <v>0</v>
      </c>
      <c r="L207" s="351"/>
      <c r="M207" s="65">
        <f t="shared" si="536"/>
        <v>0</v>
      </c>
      <c r="N207" s="373"/>
      <c r="O207" s="288"/>
      <c r="P207" s="288"/>
      <c r="Q207" s="286">
        <f t="shared" si="510"/>
        <v>0</v>
      </c>
      <c r="R207" s="334"/>
      <c r="S207" s="61">
        <v>0</v>
      </c>
      <c r="T207" s="376"/>
      <c r="U207" s="61">
        <v>0</v>
      </c>
      <c r="V207" s="342"/>
      <c r="W207" s="61">
        <v>0</v>
      </c>
      <c r="X207" s="342"/>
      <c r="Y207" s="211" t="e">
        <f t="shared" si="444"/>
        <v>#N/A</v>
      </c>
      <c r="Z207" s="370"/>
      <c r="AA207" s="61">
        <v>0</v>
      </c>
      <c r="AB207" s="351"/>
      <c r="AC207" s="61">
        <v>0</v>
      </c>
      <c r="AD207" s="351"/>
      <c r="AE207" s="73" t="e">
        <f t="shared" si="472"/>
        <v>#N/A</v>
      </c>
      <c r="AF207" s="356"/>
      <c r="AG207" s="73" t="e">
        <f t="shared" si="473"/>
        <v>#N/A</v>
      </c>
      <c r="AH207" s="356"/>
      <c r="AI207" s="221">
        <f>AI206</f>
        <v>29.26</v>
      </c>
      <c r="AJ207" s="78">
        <f t="shared" ref="AJ207:AN207" si="562">AJ206</f>
        <v>0.26750000000000002</v>
      </c>
      <c r="AK207" s="79">
        <f t="shared" si="562"/>
        <v>9.9166666666666661</v>
      </c>
      <c r="AL207" s="80">
        <f t="shared" si="562"/>
        <v>187</v>
      </c>
      <c r="AM207" s="78">
        <f t="shared" si="562"/>
        <v>9.737942583732058E-2</v>
      </c>
      <c r="AN207" s="80">
        <f t="shared" si="562"/>
        <v>143</v>
      </c>
      <c r="AO207" s="78">
        <f>AO206</f>
        <v>0.21099999999999999</v>
      </c>
      <c r="AP207" s="88">
        <f>AP206</f>
        <v>12</v>
      </c>
      <c r="AQ207" s="64">
        <f t="shared" si="545"/>
        <v>21.5</v>
      </c>
      <c r="AR207" s="64">
        <f t="shared" si="546"/>
        <v>11.5</v>
      </c>
      <c r="AS207" s="88">
        <f t="shared" si="547"/>
        <v>1.1830000000000001</v>
      </c>
      <c r="AT207" s="91">
        <f t="shared" si="420"/>
        <v>283</v>
      </c>
      <c r="AU207" s="94"/>
      <c r="AV207" s="95"/>
      <c r="AW207" s="56">
        <f t="shared" si="512"/>
        <v>0</v>
      </c>
      <c r="AX207" s="351"/>
      <c r="AY207" s="100">
        <f t="shared" si="551"/>
        <v>9.9166666666666661</v>
      </c>
      <c r="AZ207" s="360"/>
      <c r="BA207" s="91">
        <f t="shared" ref="BA207:BA217" si="563">BA206-AY207</f>
        <v>-1968.1125470000056</v>
      </c>
      <c r="BB207" s="5">
        <f t="shared" si="475"/>
        <v>-9.9166666666666661</v>
      </c>
      <c r="BC207" s="363"/>
      <c r="BD207" s="91" t="e">
        <f t="shared" ca="1" si="513"/>
        <v>#N/A</v>
      </c>
      <c r="BE207" s="91" t="e">
        <f t="shared" ca="1" si="514"/>
        <v>#N/A</v>
      </c>
      <c r="BF207" s="91">
        <f t="shared" si="515"/>
        <v>31.833333333333329</v>
      </c>
      <c r="BG207" s="91" t="e">
        <f t="shared" ca="1" si="516"/>
        <v>#N/A</v>
      </c>
      <c r="BH207" s="91" t="e">
        <f t="shared" ca="1" si="561"/>
        <v>#N/A</v>
      </c>
      <c r="BI207" s="10" t="e">
        <f t="shared" ca="1" si="539"/>
        <v>#N/A</v>
      </c>
      <c r="BJ207" s="104">
        <f>((M207+Q207)*AJ207+AK207)+((U207-W207+W207/('Vergleich Holz Strom'!$B$8-0.6))*AO207+AP207)</f>
        <v>21.916666666666664</v>
      </c>
      <c r="BK207" s="10" t="e">
        <f t="shared" ca="1" si="476"/>
        <v>#N/A</v>
      </c>
      <c r="BL207" s="379"/>
      <c r="BM207" s="104" t="e">
        <f t="shared" ca="1" si="527"/>
        <v>#N/A</v>
      </c>
      <c r="BN207" s="40" t="e">
        <f ca="1">IF(ISNUMBER(BK207),BN206+SUMIF(BK206:BK217,"&lt;&gt;#NV",BK206:BK217)/COUNTIF(BK206:BK217,"&lt;&gt;#NV"),#N/A)</f>
        <v>#N/A</v>
      </c>
      <c r="BO207" s="10" t="e">
        <f t="shared" ca="1" si="557"/>
        <v>#N/A</v>
      </c>
      <c r="BP207" s="104" t="e">
        <f t="shared" ca="1" si="477"/>
        <v>#N/A</v>
      </c>
      <c r="BQ207" s="104">
        <f t="shared" ca="1" si="500"/>
        <v>-59517.502845057272</v>
      </c>
      <c r="BR207" s="10">
        <f t="shared" si="517"/>
        <v>9.9166666666666661</v>
      </c>
      <c r="BS207" s="311"/>
      <c r="BT207" s="307"/>
      <c r="BU207" s="295">
        <f t="shared" si="518"/>
        <v>0</v>
      </c>
      <c r="BV207" s="323"/>
      <c r="BW207" s="299">
        <f t="shared" si="519"/>
        <v>0</v>
      </c>
      <c r="BX207" s="295">
        <f t="shared" si="520"/>
        <v>0</v>
      </c>
      <c r="BY207" s="382"/>
      <c r="BZ207" s="299">
        <f t="shared" si="528"/>
        <v>0</v>
      </c>
      <c r="CA207" s="295">
        <f t="shared" si="540"/>
        <v>0</v>
      </c>
      <c r="CB207" s="323"/>
      <c r="CC207" s="314">
        <f>Q207/AQ207*100+BS207/AQ207*100</f>
        <v>0</v>
      </c>
      <c r="CD207" s="326"/>
      <c r="CE207" s="299">
        <f t="shared" si="521"/>
        <v>0</v>
      </c>
      <c r="CF207" s="284">
        <f>CE207-CA207</f>
        <v>0</v>
      </c>
      <c r="CG207" s="323"/>
      <c r="CH207" s="302">
        <f t="shared" si="558"/>
        <v>0</v>
      </c>
      <c r="CI207" s="108">
        <f t="shared" si="522"/>
        <v>0</v>
      </c>
      <c r="CJ207" s="200">
        <f t="shared" si="523"/>
        <v>0</v>
      </c>
      <c r="CK207" s="197">
        <f t="shared" si="549"/>
        <v>0</v>
      </c>
      <c r="CL207" s="203">
        <f t="shared" si="524"/>
        <v>12</v>
      </c>
      <c r="CM207" s="4">
        <f>U207*Jahresdaten!$AD$2</f>
        <v>0</v>
      </c>
      <c r="CN207" s="112">
        <f>CJ207*Jahresdaten!$AD$2</f>
        <v>0</v>
      </c>
      <c r="CO207" s="366"/>
      <c r="CP207" s="116">
        <f>U207*Jahresdaten!$AD$3</f>
        <v>0</v>
      </c>
      <c r="CQ207" s="12">
        <f>CJ207*Jahresdaten!$AD$3</f>
        <v>0</v>
      </c>
      <c r="CR207" s="353"/>
      <c r="CS207" s="14"/>
      <c r="CT207" s="136"/>
      <c r="CU207" s="140" t="str">
        <f>IF(CT207=0,"",CT207*'Vergleich Holz Strom'!$B$2)</f>
        <v/>
      </c>
      <c r="CV207" s="353">
        <f>SUM(CJ206:CJ217)</f>
        <v>0</v>
      </c>
      <c r="CW207" s="366"/>
      <c r="CX207" s="345"/>
      <c r="CY207" s="345"/>
      <c r="CZ207" s="345"/>
      <c r="DA207" s="348"/>
      <c r="DB207" s="94"/>
      <c r="DC207" s="88">
        <f t="shared" si="453"/>
        <v>34371.677999999934</v>
      </c>
      <c r="DD207" s="94"/>
      <c r="DE207" s="88">
        <f t="shared" si="465"/>
        <v>-26851.112547000001</v>
      </c>
      <c r="DF207" s="100" t="e">
        <f ca="1">BE207+(SUM(CS206:CS217)/12)</f>
        <v>#N/A</v>
      </c>
      <c r="DG207" s="351"/>
      <c r="DH207" s="8">
        <f t="shared" ref="DH207:DH217" si="564">DH206+M207+S207+U207</f>
        <v>0</v>
      </c>
      <c r="DI207" s="123">
        <f t="shared" si="478"/>
        <v>3550</v>
      </c>
      <c r="DJ207" s="2">
        <f t="shared" ref="DJ207:DJ217" si="565">DJ206+M207</f>
        <v>0</v>
      </c>
      <c r="DK207" s="127">
        <f>DK217/12*2</f>
        <v>1300</v>
      </c>
      <c r="DL207" s="2">
        <f t="shared" ref="DL207:DL217" si="566">DL206</f>
        <v>650</v>
      </c>
      <c r="DM207" s="130">
        <f t="shared" ref="DM207:DM217" si="567">DM206+S207</f>
        <v>0</v>
      </c>
      <c r="DN207" s="3">
        <f>DN217/12*2</f>
        <v>500</v>
      </c>
      <c r="DO207" s="130">
        <f t="shared" ref="DO207:DO217" si="568">DO206</f>
        <v>250</v>
      </c>
      <c r="DP207" s="4">
        <f t="shared" ref="DP207:DP217" si="569">DP206+U207</f>
        <v>0</v>
      </c>
      <c r="DQ207" s="116">
        <f t="shared" ref="DQ207:DQ216" si="570">DQ206+DR207</f>
        <v>1750</v>
      </c>
      <c r="DR207" s="116">
        <f>DR195</f>
        <v>800</v>
      </c>
    </row>
    <row r="208" spans="1:122" ht="14.25" customHeight="1" thickBot="1" x14ac:dyDescent="0.2">
      <c r="A208" s="416"/>
      <c r="B208" s="16">
        <v>49644</v>
      </c>
      <c r="C208" s="207">
        <f>'PV-Felder'!$I$13</f>
        <v>559.9</v>
      </c>
      <c r="D208" s="351"/>
      <c r="E208" s="61">
        <v>0</v>
      </c>
      <c r="F208" s="351"/>
      <c r="G208" s="56" t="e">
        <f t="shared" ca="1" si="509"/>
        <v>#N/A</v>
      </c>
      <c r="H208" s="351"/>
      <c r="I208" s="61">
        <v>0</v>
      </c>
      <c r="J208" s="351"/>
      <c r="K208" s="61">
        <v>0</v>
      </c>
      <c r="L208" s="351"/>
      <c r="M208" s="65">
        <f t="shared" si="536"/>
        <v>0</v>
      </c>
      <c r="N208" s="373"/>
      <c r="O208" s="288"/>
      <c r="P208" s="288"/>
      <c r="Q208" s="286">
        <f t="shared" si="510"/>
        <v>0</v>
      </c>
      <c r="R208" s="334"/>
      <c r="S208" s="61">
        <v>0</v>
      </c>
      <c r="T208" s="376"/>
      <c r="U208" s="61">
        <v>0</v>
      </c>
      <c r="V208" s="342"/>
      <c r="W208" s="61">
        <v>0</v>
      </c>
      <c r="X208" s="342"/>
      <c r="Y208" s="211" t="e">
        <f t="shared" si="444"/>
        <v>#N/A</v>
      </c>
      <c r="Z208" s="370"/>
      <c r="AA208" s="61">
        <v>0</v>
      </c>
      <c r="AB208" s="351"/>
      <c r="AC208" s="61">
        <v>0</v>
      </c>
      <c r="AD208" s="351"/>
      <c r="AE208" s="73" t="e">
        <f t="shared" si="472"/>
        <v>#N/A</v>
      </c>
      <c r="AF208" s="356"/>
      <c r="AG208" s="73" t="e">
        <f t="shared" si="473"/>
        <v>#N/A</v>
      </c>
      <c r="AH208" s="356"/>
      <c r="AI208" s="221">
        <f t="shared" ref="AI208:AI216" si="571">AI207</f>
        <v>29.26</v>
      </c>
      <c r="AJ208" s="78">
        <f t="shared" ref="AJ208:AN208" si="572">AJ207</f>
        <v>0.26750000000000002</v>
      </c>
      <c r="AK208" s="79">
        <f t="shared" si="572"/>
        <v>9.9166666666666661</v>
      </c>
      <c r="AL208" s="80">
        <f t="shared" si="572"/>
        <v>187</v>
      </c>
      <c r="AM208" s="78">
        <f t="shared" si="572"/>
        <v>9.737942583732058E-2</v>
      </c>
      <c r="AN208" s="80">
        <f t="shared" si="572"/>
        <v>143</v>
      </c>
      <c r="AO208" s="78">
        <f>AO207</f>
        <v>0.21099999999999999</v>
      </c>
      <c r="AP208" s="88">
        <f>AP207</f>
        <v>12</v>
      </c>
      <c r="AQ208" s="64">
        <f t="shared" si="545"/>
        <v>21.5</v>
      </c>
      <c r="AR208" s="64">
        <f t="shared" si="546"/>
        <v>11.5</v>
      </c>
      <c r="AS208" s="88">
        <f t="shared" si="547"/>
        <v>1.1830000000000001</v>
      </c>
      <c r="AT208" s="91">
        <f t="shared" si="420"/>
        <v>283</v>
      </c>
      <c r="AU208" s="94"/>
      <c r="AV208" s="95"/>
      <c r="AW208" s="56">
        <f t="shared" si="512"/>
        <v>0</v>
      </c>
      <c r="AX208" s="351"/>
      <c r="AY208" s="100">
        <f t="shared" si="551"/>
        <v>9.9166666666666661</v>
      </c>
      <c r="AZ208" s="360"/>
      <c r="BA208" s="91">
        <f t="shared" si="563"/>
        <v>-1978.0292136666724</v>
      </c>
      <c r="BB208" s="5">
        <f t="shared" si="475"/>
        <v>-9.9166666666666661</v>
      </c>
      <c r="BC208" s="363"/>
      <c r="BD208" s="91" t="e">
        <f t="shared" ca="1" si="513"/>
        <v>#N/A</v>
      </c>
      <c r="BE208" s="91" t="e">
        <f t="shared" ca="1" si="514"/>
        <v>#N/A</v>
      </c>
      <c r="BF208" s="91">
        <f t="shared" si="515"/>
        <v>31.833333333333329</v>
      </c>
      <c r="BG208" s="91" t="e">
        <f t="shared" ca="1" si="516"/>
        <v>#N/A</v>
      </c>
      <c r="BH208" s="91" t="e">
        <f t="shared" ca="1" si="561"/>
        <v>#N/A</v>
      </c>
      <c r="BI208" s="10" t="e">
        <f t="shared" ca="1" si="539"/>
        <v>#N/A</v>
      </c>
      <c r="BJ208" s="104">
        <f>((M208+Q208)*AJ208+AK208)+((U208-W208+W208/('Vergleich Holz Strom'!$B$8-0.6))*AO208+AP208)</f>
        <v>21.916666666666664</v>
      </c>
      <c r="BK208" s="10" t="e">
        <f t="shared" ca="1" si="476"/>
        <v>#N/A</v>
      </c>
      <c r="BL208" s="379"/>
      <c r="BM208" s="104" t="e">
        <f t="shared" ca="1" si="527"/>
        <v>#N/A</v>
      </c>
      <c r="BN208" s="40" t="e">
        <f ca="1">IF(ISNUMBER(BK208),BN207+SUMIF(BK206:BK217,"&lt;&gt;#NV",BK206:BK217)/COUNTIF(BK206:BK217,"&lt;&gt;#NV"),#N/A)</f>
        <v>#N/A</v>
      </c>
      <c r="BO208" s="10" t="e">
        <f t="shared" ca="1" si="557"/>
        <v>#N/A</v>
      </c>
      <c r="BP208" s="104" t="e">
        <f t="shared" ca="1" si="477"/>
        <v>#N/A</v>
      </c>
      <c r="BQ208" s="104">
        <f t="shared" ca="1" si="500"/>
        <v>-59505.502845057272</v>
      </c>
      <c r="BR208" s="10">
        <f t="shared" si="517"/>
        <v>9.9166666666666661</v>
      </c>
      <c r="BS208" s="311"/>
      <c r="BT208" s="307"/>
      <c r="BU208" s="295">
        <f t="shared" si="518"/>
        <v>0</v>
      </c>
      <c r="BV208" s="323"/>
      <c r="BW208" s="299">
        <f t="shared" si="519"/>
        <v>0</v>
      </c>
      <c r="BX208" s="295">
        <f t="shared" si="520"/>
        <v>0</v>
      </c>
      <c r="BY208" s="382"/>
      <c r="BZ208" s="299">
        <f t="shared" si="528"/>
        <v>0</v>
      </c>
      <c r="CA208" s="295">
        <f t="shared" si="540"/>
        <v>0</v>
      </c>
      <c r="CB208" s="323"/>
      <c r="CC208" s="314">
        <f t="shared" ref="CC208:CC218" si="573">Q208/AQ208*100+BS208/AQ208*100</f>
        <v>0</v>
      </c>
      <c r="CD208" s="326"/>
      <c r="CE208" s="299">
        <f t="shared" si="521"/>
        <v>0</v>
      </c>
      <c r="CF208" s="284">
        <f t="shared" ref="CF208:CF218" si="574">CE208-CA208</f>
        <v>0</v>
      </c>
      <c r="CG208" s="323"/>
      <c r="CH208" s="302">
        <f t="shared" si="558"/>
        <v>0</v>
      </c>
      <c r="CI208" s="108">
        <f t="shared" si="522"/>
        <v>0</v>
      </c>
      <c r="CJ208" s="200">
        <f t="shared" si="523"/>
        <v>0</v>
      </c>
      <c r="CK208" s="197">
        <f t="shared" si="549"/>
        <v>0</v>
      </c>
      <c r="CL208" s="203">
        <f t="shared" si="524"/>
        <v>12</v>
      </c>
      <c r="CM208" s="4">
        <f>U208*Jahresdaten!$AD$2</f>
        <v>0</v>
      </c>
      <c r="CN208" s="112">
        <f>CJ208*Jahresdaten!$AD$2</f>
        <v>0</v>
      </c>
      <c r="CO208" s="366"/>
      <c r="CP208" s="116">
        <f>U208*Jahresdaten!$AD$3</f>
        <v>0</v>
      </c>
      <c r="CQ208" s="12">
        <f>CJ208*Jahresdaten!$AD$3</f>
        <v>0</v>
      </c>
      <c r="CR208" s="353"/>
      <c r="CS208" s="14"/>
      <c r="CT208" s="136"/>
      <c r="CU208" s="140" t="str">
        <f>IF(CT208=0,"",CT208*'Vergleich Holz Strom'!$B$2)</f>
        <v/>
      </c>
      <c r="CV208" s="353"/>
      <c r="CW208" s="366"/>
      <c r="CX208" s="345"/>
      <c r="CY208" s="345"/>
      <c r="CZ208" s="345"/>
      <c r="DA208" s="348"/>
      <c r="DB208" s="94"/>
      <c r="DC208" s="88">
        <f t="shared" si="453"/>
        <v>34548.76133333327</v>
      </c>
      <c r="DD208" s="94"/>
      <c r="DE208" s="88">
        <f t="shared" si="465"/>
        <v>-26994.112547000001</v>
      </c>
      <c r="DF208" s="100" t="e">
        <f ca="1">BE208+(SUM(CS206:CS217)/12)</f>
        <v>#N/A</v>
      </c>
      <c r="DG208" s="351"/>
      <c r="DH208" s="8">
        <f t="shared" si="564"/>
        <v>0</v>
      </c>
      <c r="DI208" s="123">
        <f t="shared" si="478"/>
        <v>5300</v>
      </c>
      <c r="DJ208" s="2">
        <f t="shared" si="565"/>
        <v>0</v>
      </c>
      <c r="DK208" s="127">
        <f>DK217/12*3</f>
        <v>1950</v>
      </c>
      <c r="DL208" s="2">
        <f t="shared" si="566"/>
        <v>650</v>
      </c>
      <c r="DM208" s="130">
        <f t="shared" si="567"/>
        <v>0</v>
      </c>
      <c r="DN208" s="3">
        <f>DN217/12*3</f>
        <v>750</v>
      </c>
      <c r="DO208" s="130">
        <f t="shared" si="568"/>
        <v>250</v>
      </c>
      <c r="DP208" s="4">
        <f t="shared" si="569"/>
        <v>0</v>
      </c>
      <c r="DQ208" s="116">
        <f t="shared" si="570"/>
        <v>2600</v>
      </c>
      <c r="DR208" s="116">
        <f t="shared" ref="DR208:DR216" si="575">DR196</f>
        <v>850.00000000000011</v>
      </c>
    </row>
    <row r="209" spans="1:122" ht="14.25" customHeight="1" thickBot="1" x14ac:dyDescent="0.2">
      <c r="A209" s="416"/>
      <c r="B209" s="16">
        <v>49675</v>
      </c>
      <c r="C209" s="207">
        <f>'PV-Felder'!$I$2</f>
        <v>660.80000000000007</v>
      </c>
      <c r="D209" s="351"/>
      <c r="E209" s="61">
        <v>0</v>
      </c>
      <c r="F209" s="351"/>
      <c r="G209" s="56" t="e">
        <f t="shared" ca="1" si="509"/>
        <v>#N/A</v>
      </c>
      <c r="H209" s="351"/>
      <c r="I209" s="61">
        <v>0</v>
      </c>
      <c r="J209" s="351"/>
      <c r="K209" s="61">
        <v>0</v>
      </c>
      <c r="L209" s="351"/>
      <c r="M209" s="65">
        <f t="shared" si="536"/>
        <v>0</v>
      </c>
      <c r="N209" s="373"/>
      <c r="O209" s="288"/>
      <c r="P209" s="288"/>
      <c r="Q209" s="286">
        <f t="shared" si="510"/>
        <v>0</v>
      </c>
      <c r="R209" s="334"/>
      <c r="S209" s="61">
        <v>0</v>
      </c>
      <c r="T209" s="376"/>
      <c r="U209" s="61">
        <v>0</v>
      </c>
      <c r="V209" s="342"/>
      <c r="W209" s="61">
        <v>0</v>
      </c>
      <c r="X209" s="342"/>
      <c r="Y209" s="211" t="e">
        <f t="shared" si="444"/>
        <v>#N/A</v>
      </c>
      <c r="Z209" s="370"/>
      <c r="AA209" s="61">
        <v>0</v>
      </c>
      <c r="AB209" s="351"/>
      <c r="AC209" s="61">
        <v>0</v>
      </c>
      <c r="AD209" s="351"/>
      <c r="AE209" s="73" t="e">
        <f t="shared" si="472"/>
        <v>#N/A</v>
      </c>
      <c r="AF209" s="356"/>
      <c r="AG209" s="73" t="e">
        <f t="shared" si="473"/>
        <v>#N/A</v>
      </c>
      <c r="AH209" s="356"/>
      <c r="AI209" s="221">
        <f t="shared" si="571"/>
        <v>29.26</v>
      </c>
      <c r="AJ209" s="78">
        <f t="shared" ref="AJ209:AP209" si="576">AJ208</f>
        <v>0.26750000000000002</v>
      </c>
      <c r="AK209" s="79">
        <f t="shared" si="576"/>
        <v>9.9166666666666661</v>
      </c>
      <c r="AL209" s="80">
        <f t="shared" si="576"/>
        <v>187</v>
      </c>
      <c r="AM209" s="78">
        <f t="shared" si="576"/>
        <v>9.737942583732058E-2</v>
      </c>
      <c r="AN209" s="80">
        <f t="shared" si="576"/>
        <v>143</v>
      </c>
      <c r="AO209" s="78">
        <f t="shared" si="576"/>
        <v>0.21099999999999999</v>
      </c>
      <c r="AP209" s="88">
        <f t="shared" si="576"/>
        <v>12</v>
      </c>
      <c r="AQ209" s="64">
        <f t="shared" si="545"/>
        <v>21.5</v>
      </c>
      <c r="AR209" s="64">
        <f t="shared" si="546"/>
        <v>11.5</v>
      </c>
      <c r="AS209" s="88">
        <f t="shared" si="547"/>
        <v>1.1830000000000001</v>
      </c>
      <c r="AT209" s="91">
        <f t="shared" si="420"/>
        <v>283</v>
      </c>
      <c r="AU209" s="94"/>
      <c r="AV209" s="95"/>
      <c r="AW209" s="56">
        <f t="shared" si="512"/>
        <v>0</v>
      </c>
      <c r="AX209" s="351"/>
      <c r="AY209" s="100">
        <f t="shared" si="551"/>
        <v>9.9166666666666661</v>
      </c>
      <c r="AZ209" s="360"/>
      <c r="BA209" s="91">
        <f t="shared" si="563"/>
        <v>-1987.9458803333391</v>
      </c>
      <c r="BB209" s="5">
        <f t="shared" si="475"/>
        <v>-9.9166666666666661</v>
      </c>
      <c r="BC209" s="363"/>
      <c r="BD209" s="91" t="e">
        <f t="shared" ca="1" si="513"/>
        <v>#N/A</v>
      </c>
      <c r="BE209" s="91" t="e">
        <f t="shared" ca="1" si="514"/>
        <v>#N/A</v>
      </c>
      <c r="BF209" s="91">
        <f t="shared" si="515"/>
        <v>31.833333333333329</v>
      </c>
      <c r="BG209" s="91" t="e">
        <f t="shared" ca="1" si="516"/>
        <v>#N/A</v>
      </c>
      <c r="BH209" s="91" t="e">
        <f t="shared" ca="1" si="561"/>
        <v>#N/A</v>
      </c>
      <c r="BI209" s="10" t="e">
        <f t="shared" ca="1" si="539"/>
        <v>#N/A</v>
      </c>
      <c r="BJ209" s="104">
        <f>((M209+Q209)*AJ209+AK209)+((U209-W209+W209/('Vergleich Holz Strom'!$B$8-0.6))*AO209+AP209)</f>
        <v>21.916666666666664</v>
      </c>
      <c r="BK209" s="10" t="e">
        <f t="shared" ca="1" si="476"/>
        <v>#N/A</v>
      </c>
      <c r="BL209" s="379"/>
      <c r="BM209" s="104" t="e">
        <f t="shared" ca="1" si="527"/>
        <v>#N/A</v>
      </c>
      <c r="BN209" s="40" t="e">
        <f ca="1">IF(ISNUMBER(BK209),BN208+SUMIF(BK206:BK217,"&lt;&gt;#NV",BK206:BK217)/COUNTIF(BK206:BK217,"&lt;&gt;#NV"),#N/A)</f>
        <v>#N/A</v>
      </c>
      <c r="BO209" s="10" t="e">
        <f t="shared" ca="1" si="557"/>
        <v>#N/A</v>
      </c>
      <c r="BP209" s="104" t="e">
        <f t="shared" ca="1" si="477"/>
        <v>#N/A</v>
      </c>
      <c r="BQ209" s="104">
        <f t="shared" ca="1" si="500"/>
        <v>-59493.502845057272</v>
      </c>
      <c r="BR209" s="10">
        <f t="shared" si="517"/>
        <v>9.9166666666666661</v>
      </c>
      <c r="BS209" s="311"/>
      <c r="BT209" s="307"/>
      <c r="BU209" s="295">
        <f t="shared" si="518"/>
        <v>0</v>
      </c>
      <c r="BV209" s="323"/>
      <c r="BW209" s="299">
        <f t="shared" si="519"/>
        <v>0</v>
      </c>
      <c r="BX209" s="295">
        <f t="shared" si="520"/>
        <v>0</v>
      </c>
      <c r="BY209" s="382"/>
      <c r="BZ209" s="299">
        <f t="shared" si="528"/>
        <v>0</v>
      </c>
      <c r="CA209" s="295">
        <f t="shared" si="540"/>
        <v>0</v>
      </c>
      <c r="CB209" s="323"/>
      <c r="CC209" s="314">
        <f t="shared" si="573"/>
        <v>0</v>
      </c>
      <c r="CD209" s="326"/>
      <c r="CE209" s="299">
        <f t="shared" si="521"/>
        <v>0</v>
      </c>
      <c r="CF209" s="284">
        <f t="shared" si="574"/>
        <v>0</v>
      </c>
      <c r="CG209" s="323"/>
      <c r="CH209" s="302">
        <f t="shared" si="558"/>
        <v>0</v>
      </c>
      <c r="CI209" s="108">
        <f t="shared" si="522"/>
        <v>0</v>
      </c>
      <c r="CJ209" s="200">
        <f t="shared" si="523"/>
        <v>0</v>
      </c>
      <c r="CK209" s="197">
        <f t="shared" si="549"/>
        <v>0</v>
      </c>
      <c r="CL209" s="203">
        <f t="shared" si="524"/>
        <v>12</v>
      </c>
      <c r="CM209" s="4">
        <f>U209*Jahresdaten!$AD$2</f>
        <v>0</v>
      </c>
      <c r="CN209" s="112">
        <f>CJ209*Jahresdaten!$AD$2</f>
        <v>0</v>
      </c>
      <c r="CO209" s="366"/>
      <c r="CP209" s="116">
        <f>U209*Jahresdaten!$AD$3</f>
        <v>0</v>
      </c>
      <c r="CQ209" s="12">
        <f>CJ209*Jahresdaten!$AD$3</f>
        <v>0</v>
      </c>
      <c r="CR209" s="353"/>
      <c r="CS209" s="14"/>
      <c r="CT209" s="136"/>
      <c r="CU209" s="140" t="str">
        <f>IF(CT209=0,"",CT209*'Vergleich Holz Strom'!$B$2)</f>
        <v/>
      </c>
      <c r="CV209" s="353"/>
      <c r="CW209" s="366"/>
      <c r="CX209" s="345"/>
      <c r="CY209" s="345"/>
      <c r="CZ209" s="345"/>
      <c r="DA209" s="348"/>
      <c r="DB209" s="94"/>
      <c r="DC209" s="88">
        <f t="shared" si="453"/>
        <v>34725.844666666606</v>
      </c>
      <c r="DD209" s="94"/>
      <c r="DE209" s="88">
        <f t="shared" si="465"/>
        <v>-27137.112547000001</v>
      </c>
      <c r="DF209" s="100" t="e">
        <f ca="1">BE209+(SUM(CS206:CS217)/12)</f>
        <v>#N/A</v>
      </c>
      <c r="DG209" s="351"/>
      <c r="DH209" s="8">
        <f t="shared" si="564"/>
        <v>0</v>
      </c>
      <c r="DI209" s="123">
        <f t="shared" si="478"/>
        <v>7350</v>
      </c>
      <c r="DJ209" s="2">
        <f t="shared" si="565"/>
        <v>0</v>
      </c>
      <c r="DK209" s="127">
        <f>DK217/12*4</f>
        <v>2600</v>
      </c>
      <c r="DL209" s="2">
        <f t="shared" si="566"/>
        <v>650</v>
      </c>
      <c r="DM209" s="130">
        <f t="shared" si="567"/>
        <v>0</v>
      </c>
      <c r="DN209" s="3">
        <f>DN217/12*4</f>
        <v>1000</v>
      </c>
      <c r="DO209" s="130">
        <f t="shared" si="568"/>
        <v>250</v>
      </c>
      <c r="DP209" s="4">
        <f t="shared" si="569"/>
        <v>0</v>
      </c>
      <c r="DQ209" s="116">
        <f t="shared" si="570"/>
        <v>3750</v>
      </c>
      <c r="DR209" s="116">
        <f t="shared" si="575"/>
        <v>1150</v>
      </c>
    </row>
    <row r="210" spans="1:122" ht="14.25" customHeight="1" thickBot="1" x14ac:dyDescent="0.2">
      <c r="A210" s="416"/>
      <c r="B210" s="16">
        <v>49706</v>
      </c>
      <c r="C210" s="207">
        <f>'PV-Felder'!$I$3</f>
        <v>922.2</v>
      </c>
      <c r="D210" s="351"/>
      <c r="E210" s="61">
        <v>0</v>
      </c>
      <c r="F210" s="351"/>
      <c r="G210" s="56" t="e">
        <f t="shared" ca="1" si="509"/>
        <v>#N/A</v>
      </c>
      <c r="H210" s="351"/>
      <c r="I210" s="61">
        <v>0</v>
      </c>
      <c r="J210" s="351"/>
      <c r="K210" s="61">
        <v>0</v>
      </c>
      <c r="L210" s="351"/>
      <c r="M210" s="65">
        <f t="shared" si="536"/>
        <v>0</v>
      </c>
      <c r="N210" s="373"/>
      <c r="O210" s="288"/>
      <c r="P210" s="288"/>
      <c r="Q210" s="286">
        <f t="shared" si="510"/>
        <v>0</v>
      </c>
      <c r="R210" s="334"/>
      <c r="S210" s="61">
        <v>0</v>
      </c>
      <c r="T210" s="376"/>
      <c r="U210" s="61">
        <v>0</v>
      </c>
      <c r="V210" s="342"/>
      <c r="W210" s="61">
        <v>0</v>
      </c>
      <c r="X210" s="342"/>
      <c r="Y210" s="211" t="e">
        <f t="shared" si="444"/>
        <v>#N/A</v>
      </c>
      <c r="Z210" s="370"/>
      <c r="AA210" s="61">
        <v>0</v>
      </c>
      <c r="AB210" s="351"/>
      <c r="AC210" s="61">
        <v>0</v>
      </c>
      <c r="AD210" s="351"/>
      <c r="AE210" s="73" t="e">
        <f t="shared" si="472"/>
        <v>#N/A</v>
      </c>
      <c r="AF210" s="356"/>
      <c r="AG210" s="73" t="e">
        <f t="shared" si="473"/>
        <v>#N/A</v>
      </c>
      <c r="AH210" s="356"/>
      <c r="AI210" s="221">
        <f t="shared" si="571"/>
        <v>29.26</v>
      </c>
      <c r="AJ210" s="78">
        <f t="shared" ref="AJ210:AP210" si="577">AJ209</f>
        <v>0.26750000000000002</v>
      </c>
      <c r="AK210" s="79">
        <f t="shared" si="577"/>
        <v>9.9166666666666661</v>
      </c>
      <c r="AL210" s="80">
        <f t="shared" si="577"/>
        <v>187</v>
      </c>
      <c r="AM210" s="78">
        <f t="shared" si="577"/>
        <v>9.737942583732058E-2</v>
      </c>
      <c r="AN210" s="80">
        <f t="shared" si="577"/>
        <v>143</v>
      </c>
      <c r="AO210" s="78">
        <f t="shared" si="577"/>
        <v>0.21099999999999999</v>
      </c>
      <c r="AP210" s="88">
        <f t="shared" si="577"/>
        <v>12</v>
      </c>
      <c r="AQ210" s="64">
        <f t="shared" si="545"/>
        <v>21.5</v>
      </c>
      <c r="AR210" s="64">
        <f t="shared" si="546"/>
        <v>11.5</v>
      </c>
      <c r="AS210" s="88">
        <f t="shared" si="547"/>
        <v>1.1830000000000001</v>
      </c>
      <c r="AT210" s="91">
        <f t="shared" si="420"/>
        <v>283</v>
      </c>
      <c r="AU210" s="94"/>
      <c r="AV210" s="95"/>
      <c r="AW210" s="56">
        <f t="shared" si="512"/>
        <v>0</v>
      </c>
      <c r="AX210" s="351"/>
      <c r="AY210" s="100">
        <f t="shared" si="551"/>
        <v>9.9166666666666661</v>
      </c>
      <c r="AZ210" s="360"/>
      <c r="BA210" s="91">
        <f t="shared" si="563"/>
        <v>-1997.8625470000059</v>
      </c>
      <c r="BB210" s="5">
        <f t="shared" si="475"/>
        <v>-9.9166666666666661</v>
      </c>
      <c r="BC210" s="363"/>
      <c r="BD210" s="91" t="e">
        <f t="shared" ca="1" si="513"/>
        <v>#N/A</v>
      </c>
      <c r="BE210" s="91" t="e">
        <f t="shared" ca="1" si="514"/>
        <v>#N/A</v>
      </c>
      <c r="BF210" s="91">
        <f t="shared" si="515"/>
        <v>31.833333333333329</v>
      </c>
      <c r="BG210" s="91" t="e">
        <f t="shared" ca="1" si="516"/>
        <v>#N/A</v>
      </c>
      <c r="BH210" s="91" t="e">
        <f t="shared" ca="1" si="561"/>
        <v>#N/A</v>
      </c>
      <c r="BI210" s="10" t="e">
        <f t="shared" ca="1" si="539"/>
        <v>#N/A</v>
      </c>
      <c r="BJ210" s="104">
        <f>((M210+Q210)*AJ210+AK210)+((U210-W210+W210/('Vergleich Holz Strom'!$B$8-0.6))*AO210+AP210)</f>
        <v>21.916666666666664</v>
      </c>
      <c r="BK210" s="10" t="e">
        <f t="shared" ca="1" si="476"/>
        <v>#N/A</v>
      </c>
      <c r="BL210" s="379"/>
      <c r="BM210" s="104" t="e">
        <f t="shared" ca="1" si="527"/>
        <v>#N/A</v>
      </c>
      <c r="BN210" s="40" t="e">
        <f ca="1">IF(ISNUMBER(BK210),BN209+SUMIF(BK206:BK217,"&lt;&gt;#NV",BK206:BK217)/COUNTIF(BK206:BK217,"&lt;&gt;#NV"),#N/A)</f>
        <v>#N/A</v>
      </c>
      <c r="BO210" s="10" t="e">
        <f t="shared" ca="1" si="557"/>
        <v>#N/A</v>
      </c>
      <c r="BP210" s="104" t="e">
        <f t="shared" ca="1" si="477"/>
        <v>#N/A</v>
      </c>
      <c r="BQ210" s="104">
        <f t="shared" ca="1" si="500"/>
        <v>-59474.302845057275</v>
      </c>
      <c r="BR210" s="10">
        <f t="shared" si="517"/>
        <v>9.9166666666666661</v>
      </c>
      <c r="BS210" s="311"/>
      <c r="BT210" s="307"/>
      <c r="BU210" s="295">
        <f t="shared" si="518"/>
        <v>0</v>
      </c>
      <c r="BV210" s="323"/>
      <c r="BW210" s="299">
        <f t="shared" si="519"/>
        <v>0</v>
      </c>
      <c r="BX210" s="295">
        <f t="shared" si="520"/>
        <v>0</v>
      </c>
      <c r="BY210" s="382"/>
      <c r="BZ210" s="299">
        <f t="shared" si="528"/>
        <v>0</v>
      </c>
      <c r="CA210" s="295">
        <f t="shared" si="540"/>
        <v>0</v>
      </c>
      <c r="CB210" s="323"/>
      <c r="CC210" s="314">
        <f t="shared" si="573"/>
        <v>0</v>
      </c>
      <c r="CD210" s="326"/>
      <c r="CE210" s="299">
        <f t="shared" si="521"/>
        <v>0</v>
      </c>
      <c r="CF210" s="284">
        <f t="shared" si="574"/>
        <v>0</v>
      </c>
      <c r="CG210" s="323"/>
      <c r="CH210" s="302">
        <f t="shared" si="558"/>
        <v>0</v>
      </c>
      <c r="CI210" s="108">
        <f t="shared" si="522"/>
        <v>0</v>
      </c>
      <c r="CJ210" s="200">
        <f t="shared" si="523"/>
        <v>0</v>
      </c>
      <c r="CK210" s="197">
        <f t="shared" si="549"/>
        <v>0</v>
      </c>
      <c r="CL210" s="203">
        <f t="shared" si="524"/>
        <v>12</v>
      </c>
      <c r="CM210" s="4">
        <f>U210*Jahresdaten!$AD$2</f>
        <v>0</v>
      </c>
      <c r="CN210" s="112">
        <f>CJ210*Jahresdaten!$AD$2</f>
        <v>0</v>
      </c>
      <c r="CO210" s="366"/>
      <c r="CP210" s="116">
        <f>U210*Jahresdaten!$AD$3</f>
        <v>0</v>
      </c>
      <c r="CQ210" s="12">
        <f>CJ210*Jahresdaten!$AD$3</f>
        <v>0</v>
      </c>
      <c r="CR210" s="353"/>
      <c r="CS210" s="14"/>
      <c r="CT210" s="136"/>
      <c r="CU210" s="140" t="str">
        <f>IF(CT210=0,"",CT210*'Vergleich Holz Strom'!$B$2)</f>
        <v/>
      </c>
      <c r="CV210" s="353"/>
      <c r="CW210" s="366"/>
      <c r="CX210" s="345"/>
      <c r="CY210" s="345"/>
      <c r="CZ210" s="345"/>
      <c r="DA210" s="348"/>
      <c r="DB210" s="94"/>
      <c r="DC210" s="88">
        <f t="shared" si="453"/>
        <v>34902.927999999942</v>
      </c>
      <c r="DD210" s="94"/>
      <c r="DE210" s="88">
        <f t="shared" si="465"/>
        <v>-27280.112547000001</v>
      </c>
      <c r="DF210" s="100" t="e">
        <f ca="1">BE210+(SUM(CS206:CS217)/12)</f>
        <v>#N/A</v>
      </c>
      <c r="DG210" s="351"/>
      <c r="DH210" s="8">
        <f t="shared" si="564"/>
        <v>0</v>
      </c>
      <c r="DI210" s="123">
        <f t="shared" si="478"/>
        <v>9600</v>
      </c>
      <c r="DJ210" s="2">
        <f t="shared" si="565"/>
        <v>0</v>
      </c>
      <c r="DK210" s="127">
        <f>DK217/12*5</f>
        <v>3250</v>
      </c>
      <c r="DL210" s="2">
        <f t="shared" si="566"/>
        <v>650</v>
      </c>
      <c r="DM210" s="130">
        <f t="shared" si="567"/>
        <v>0</v>
      </c>
      <c r="DN210" s="3">
        <f>DN217/12*5</f>
        <v>1250</v>
      </c>
      <c r="DO210" s="130">
        <f t="shared" si="568"/>
        <v>250</v>
      </c>
      <c r="DP210" s="4">
        <f t="shared" si="569"/>
        <v>0</v>
      </c>
      <c r="DQ210" s="116">
        <f t="shared" si="570"/>
        <v>5100</v>
      </c>
      <c r="DR210" s="116">
        <f t="shared" si="575"/>
        <v>1350</v>
      </c>
    </row>
    <row r="211" spans="1:122" ht="14.25" customHeight="1" thickBot="1" x14ac:dyDescent="0.2">
      <c r="A211" s="416"/>
      <c r="B211" s="16">
        <v>49735</v>
      </c>
      <c r="C211" s="207">
        <f>'PV-Felder'!$I$4</f>
        <v>1860</v>
      </c>
      <c r="D211" s="351"/>
      <c r="E211" s="61">
        <v>0</v>
      </c>
      <c r="F211" s="351"/>
      <c r="G211" s="56" t="e">
        <f t="shared" ca="1" si="509"/>
        <v>#N/A</v>
      </c>
      <c r="H211" s="351"/>
      <c r="I211" s="61">
        <v>0</v>
      </c>
      <c r="J211" s="351"/>
      <c r="K211" s="61">
        <v>0</v>
      </c>
      <c r="L211" s="351"/>
      <c r="M211" s="65">
        <f t="shared" si="536"/>
        <v>0</v>
      </c>
      <c r="N211" s="373"/>
      <c r="O211" s="288"/>
      <c r="P211" s="288"/>
      <c r="Q211" s="286">
        <f t="shared" si="510"/>
        <v>0</v>
      </c>
      <c r="R211" s="334"/>
      <c r="S211" s="61">
        <v>0</v>
      </c>
      <c r="T211" s="376"/>
      <c r="U211" s="61">
        <v>0</v>
      </c>
      <c r="V211" s="342"/>
      <c r="W211" s="61">
        <v>0</v>
      </c>
      <c r="X211" s="342"/>
      <c r="Y211" s="211" t="e">
        <f t="shared" si="444"/>
        <v>#N/A</v>
      </c>
      <c r="Z211" s="370"/>
      <c r="AA211" s="61">
        <v>0</v>
      </c>
      <c r="AB211" s="351"/>
      <c r="AC211" s="61">
        <v>0</v>
      </c>
      <c r="AD211" s="351"/>
      <c r="AE211" s="73" t="e">
        <f t="shared" si="472"/>
        <v>#N/A</v>
      </c>
      <c r="AF211" s="356"/>
      <c r="AG211" s="73" t="e">
        <f t="shared" si="473"/>
        <v>#N/A</v>
      </c>
      <c r="AH211" s="356"/>
      <c r="AI211" s="221">
        <f t="shared" si="571"/>
        <v>29.26</v>
      </c>
      <c r="AJ211" s="78">
        <f t="shared" ref="AJ211:AP211" si="578">AJ210</f>
        <v>0.26750000000000002</v>
      </c>
      <c r="AK211" s="79">
        <f t="shared" si="578"/>
        <v>9.9166666666666661</v>
      </c>
      <c r="AL211" s="80">
        <f t="shared" si="578"/>
        <v>187</v>
      </c>
      <c r="AM211" s="78">
        <f t="shared" si="578"/>
        <v>9.737942583732058E-2</v>
      </c>
      <c r="AN211" s="80">
        <f t="shared" si="578"/>
        <v>143</v>
      </c>
      <c r="AO211" s="78">
        <f t="shared" si="578"/>
        <v>0.21099999999999999</v>
      </c>
      <c r="AP211" s="88">
        <f t="shared" si="578"/>
        <v>12</v>
      </c>
      <c r="AQ211" s="64">
        <f t="shared" si="545"/>
        <v>21.5</v>
      </c>
      <c r="AR211" s="64">
        <f t="shared" si="546"/>
        <v>11.5</v>
      </c>
      <c r="AS211" s="88">
        <f t="shared" si="547"/>
        <v>1.1830000000000001</v>
      </c>
      <c r="AT211" s="91">
        <f t="shared" si="420"/>
        <v>283</v>
      </c>
      <c r="AU211" s="94"/>
      <c r="AV211" s="95"/>
      <c r="AW211" s="56">
        <f t="shared" si="512"/>
        <v>0</v>
      </c>
      <c r="AX211" s="351"/>
      <c r="AY211" s="100">
        <f t="shared" si="551"/>
        <v>9.9166666666666661</v>
      </c>
      <c r="AZ211" s="360"/>
      <c r="BA211" s="91">
        <f t="shared" si="563"/>
        <v>-2007.7792136666726</v>
      </c>
      <c r="BB211" s="5">
        <f t="shared" si="475"/>
        <v>-9.9166666666666661</v>
      </c>
      <c r="BC211" s="363"/>
      <c r="BD211" s="91" t="e">
        <f t="shared" ca="1" si="513"/>
        <v>#N/A</v>
      </c>
      <c r="BE211" s="91" t="e">
        <f t="shared" ca="1" si="514"/>
        <v>#N/A</v>
      </c>
      <c r="BF211" s="91">
        <f t="shared" si="515"/>
        <v>31.833333333333329</v>
      </c>
      <c r="BG211" s="91" t="e">
        <f t="shared" ca="1" si="516"/>
        <v>#N/A</v>
      </c>
      <c r="BH211" s="91" t="e">
        <f t="shared" ca="1" si="561"/>
        <v>#N/A</v>
      </c>
      <c r="BI211" s="10" t="e">
        <f t="shared" ca="1" si="539"/>
        <v>#N/A</v>
      </c>
      <c r="BJ211" s="104">
        <f>((M211+Q211)*AJ211+AK211)+((U211-W211+W211/('Vergleich Holz Strom'!$B$8-0.6))*AO211+AP211)</f>
        <v>21.916666666666664</v>
      </c>
      <c r="BK211" s="10" t="e">
        <f t="shared" ca="1" si="476"/>
        <v>#N/A</v>
      </c>
      <c r="BL211" s="379"/>
      <c r="BM211" s="104" t="e">
        <f t="shared" ca="1" si="527"/>
        <v>#N/A</v>
      </c>
      <c r="BN211" s="40" t="e">
        <f ca="1">IF(ISNUMBER(BK211),BN210+SUMIF(BK206:BK217,"&lt;&gt;#NV",BK206:BK217)/COUNTIF(BK206:BK217,"&lt;&gt;#NV"),#N/A)</f>
        <v>#N/A</v>
      </c>
      <c r="BO211" s="10" t="e">
        <f t="shared" ca="1" si="557"/>
        <v>#N/A</v>
      </c>
      <c r="BP211" s="104" t="e">
        <f t="shared" ca="1" si="477"/>
        <v>#N/A</v>
      </c>
      <c r="BQ211" s="104">
        <f t="shared" ca="1" si="500"/>
        <v>-59455.102845057278</v>
      </c>
      <c r="BR211" s="10">
        <f t="shared" si="517"/>
        <v>9.9166666666666661</v>
      </c>
      <c r="BS211" s="311"/>
      <c r="BT211" s="307"/>
      <c r="BU211" s="295">
        <f t="shared" si="518"/>
        <v>0</v>
      </c>
      <c r="BV211" s="323"/>
      <c r="BW211" s="299">
        <f t="shared" si="519"/>
        <v>0</v>
      </c>
      <c r="BX211" s="295">
        <f t="shared" si="520"/>
        <v>0</v>
      </c>
      <c r="BY211" s="382"/>
      <c r="BZ211" s="299">
        <f t="shared" si="528"/>
        <v>0</v>
      </c>
      <c r="CA211" s="295">
        <f t="shared" si="540"/>
        <v>0</v>
      </c>
      <c r="CB211" s="323"/>
      <c r="CC211" s="314">
        <f t="shared" si="573"/>
        <v>0</v>
      </c>
      <c r="CD211" s="326"/>
      <c r="CE211" s="299">
        <f t="shared" si="521"/>
        <v>0</v>
      </c>
      <c r="CF211" s="284">
        <f t="shared" si="574"/>
        <v>0</v>
      </c>
      <c r="CG211" s="323"/>
      <c r="CH211" s="302">
        <f t="shared" si="558"/>
        <v>0</v>
      </c>
      <c r="CI211" s="108">
        <f t="shared" si="522"/>
        <v>0</v>
      </c>
      <c r="CJ211" s="200">
        <f t="shared" si="523"/>
        <v>0</v>
      </c>
      <c r="CK211" s="197">
        <f t="shared" si="549"/>
        <v>0</v>
      </c>
      <c r="CL211" s="203">
        <f t="shared" si="524"/>
        <v>12</v>
      </c>
      <c r="CM211" s="4">
        <f>U211*Jahresdaten!$AD$2</f>
        <v>0</v>
      </c>
      <c r="CN211" s="112">
        <f>CJ211*Jahresdaten!$AD$2</f>
        <v>0</v>
      </c>
      <c r="CO211" s="366"/>
      <c r="CP211" s="116">
        <f>U211*Jahresdaten!$AD$3</f>
        <v>0</v>
      </c>
      <c r="CQ211" s="12">
        <f>CJ211*Jahresdaten!$AD$3</f>
        <v>0</v>
      </c>
      <c r="CR211" s="353"/>
      <c r="CS211" s="14"/>
      <c r="CT211" s="136"/>
      <c r="CU211" s="140" t="str">
        <f>IF(CT211=0,"",CT211*'Vergleich Holz Strom'!$B$2)</f>
        <v/>
      </c>
      <c r="CV211" s="353"/>
      <c r="CW211" s="366"/>
      <c r="CX211" s="345"/>
      <c r="CY211" s="345"/>
      <c r="CZ211" s="345"/>
      <c r="DA211" s="348"/>
      <c r="DB211" s="94"/>
      <c r="DC211" s="88">
        <f t="shared" si="453"/>
        <v>35080.011333333277</v>
      </c>
      <c r="DD211" s="94"/>
      <c r="DE211" s="88">
        <f t="shared" si="465"/>
        <v>-27423.112547000001</v>
      </c>
      <c r="DF211" s="100" t="e">
        <f ca="1">BE211+(SUM(CS206:CS217)/12)</f>
        <v>#N/A</v>
      </c>
      <c r="DG211" s="351"/>
      <c r="DH211" s="8">
        <f t="shared" si="564"/>
        <v>0</v>
      </c>
      <c r="DI211" s="123">
        <f t="shared" si="478"/>
        <v>11850</v>
      </c>
      <c r="DJ211" s="2">
        <f t="shared" si="565"/>
        <v>0</v>
      </c>
      <c r="DK211" s="127">
        <f>DK217/12*6</f>
        <v>3900</v>
      </c>
      <c r="DL211" s="2">
        <f t="shared" si="566"/>
        <v>650</v>
      </c>
      <c r="DM211" s="130">
        <f t="shared" si="567"/>
        <v>0</v>
      </c>
      <c r="DN211" s="3">
        <f>DN217/12*6</f>
        <v>1500</v>
      </c>
      <c r="DO211" s="130">
        <f t="shared" si="568"/>
        <v>250</v>
      </c>
      <c r="DP211" s="4">
        <f t="shared" si="569"/>
        <v>0</v>
      </c>
      <c r="DQ211" s="116">
        <f t="shared" si="570"/>
        <v>6450</v>
      </c>
      <c r="DR211" s="116">
        <f t="shared" si="575"/>
        <v>1350</v>
      </c>
    </row>
    <row r="212" spans="1:122" ht="15" customHeight="1" thickBot="1" x14ac:dyDescent="0.2">
      <c r="A212" s="416"/>
      <c r="B212" s="16">
        <v>49766</v>
      </c>
      <c r="C212" s="207">
        <f>'PV-Felder'!$I$5</f>
        <v>2887.3</v>
      </c>
      <c r="D212" s="351"/>
      <c r="E212" s="61">
        <v>0</v>
      </c>
      <c r="F212" s="351"/>
      <c r="G212" s="56" t="e">
        <f t="shared" ca="1" si="509"/>
        <v>#N/A</v>
      </c>
      <c r="H212" s="351"/>
      <c r="I212" s="61">
        <v>0</v>
      </c>
      <c r="J212" s="351"/>
      <c r="K212" s="61">
        <v>0</v>
      </c>
      <c r="L212" s="351"/>
      <c r="M212" s="65">
        <f t="shared" si="536"/>
        <v>0</v>
      </c>
      <c r="N212" s="373"/>
      <c r="O212" s="288"/>
      <c r="P212" s="288"/>
      <c r="Q212" s="286">
        <f t="shared" si="510"/>
        <v>0</v>
      </c>
      <c r="R212" s="334"/>
      <c r="S212" s="61">
        <v>0</v>
      </c>
      <c r="T212" s="376"/>
      <c r="U212" s="61">
        <v>0</v>
      </c>
      <c r="V212" s="342"/>
      <c r="W212" s="61">
        <v>0</v>
      </c>
      <c r="X212" s="342"/>
      <c r="Y212" s="211" t="e">
        <f t="shared" si="444"/>
        <v>#N/A</v>
      </c>
      <c r="Z212" s="370"/>
      <c r="AA212" s="61">
        <v>0</v>
      </c>
      <c r="AB212" s="351"/>
      <c r="AC212" s="61">
        <v>0</v>
      </c>
      <c r="AD212" s="351"/>
      <c r="AE212" s="73" t="e">
        <f t="shared" si="472"/>
        <v>#N/A</v>
      </c>
      <c r="AF212" s="356"/>
      <c r="AG212" s="73" t="e">
        <f t="shared" si="473"/>
        <v>#N/A</v>
      </c>
      <c r="AH212" s="356"/>
      <c r="AI212" s="221">
        <f t="shared" si="571"/>
        <v>29.26</v>
      </c>
      <c r="AJ212" s="78">
        <f t="shared" ref="AJ212:AP212" si="579">AJ211</f>
        <v>0.26750000000000002</v>
      </c>
      <c r="AK212" s="79">
        <f t="shared" si="579"/>
        <v>9.9166666666666661</v>
      </c>
      <c r="AL212" s="80">
        <f t="shared" si="579"/>
        <v>187</v>
      </c>
      <c r="AM212" s="78">
        <f t="shared" si="579"/>
        <v>9.737942583732058E-2</v>
      </c>
      <c r="AN212" s="80">
        <f t="shared" si="579"/>
        <v>143</v>
      </c>
      <c r="AO212" s="78">
        <f t="shared" si="579"/>
        <v>0.21099999999999999</v>
      </c>
      <c r="AP212" s="88">
        <f t="shared" si="579"/>
        <v>12</v>
      </c>
      <c r="AQ212" s="64">
        <f t="shared" si="545"/>
        <v>21.5</v>
      </c>
      <c r="AR212" s="64">
        <f t="shared" si="546"/>
        <v>11.5</v>
      </c>
      <c r="AS212" s="88">
        <f t="shared" si="547"/>
        <v>1.1830000000000001</v>
      </c>
      <c r="AT212" s="91">
        <f t="shared" si="420"/>
        <v>283</v>
      </c>
      <c r="AU212" s="94"/>
      <c r="AV212" s="95"/>
      <c r="AW212" s="56">
        <f t="shared" si="512"/>
        <v>0</v>
      </c>
      <c r="AX212" s="351"/>
      <c r="AY212" s="100">
        <f t="shared" si="551"/>
        <v>9.9166666666666661</v>
      </c>
      <c r="AZ212" s="360"/>
      <c r="BA212" s="91">
        <f t="shared" si="563"/>
        <v>-2017.6958803333393</v>
      </c>
      <c r="BB212" s="5">
        <f t="shared" si="475"/>
        <v>-9.9166666666666661</v>
      </c>
      <c r="BC212" s="363"/>
      <c r="BD212" s="91" t="e">
        <f t="shared" ca="1" si="513"/>
        <v>#N/A</v>
      </c>
      <c r="BE212" s="91" t="e">
        <f t="shared" ca="1" si="514"/>
        <v>#N/A</v>
      </c>
      <c r="BF212" s="91">
        <f t="shared" si="515"/>
        <v>31.833333333333329</v>
      </c>
      <c r="BG212" s="91" t="e">
        <f t="shared" ca="1" si="516"/>
        <v>#N/A</v>
      </c>
      <c r="BH212" s="91" t="e">
        <f t="shared" ca="1" si="561"/>
        <v>#N/A</v>
      </c>
      <c r="BI212" s="10" t="e">
        <f t="shared" ca="1" si="539"/>
        <v>#N/A</v>
      </c>
      <c r="BJ212" s="104">
        <f>((M212+Q212)*AJ212+AK212)+((U212-W212+W212/('Vergleich Holz Strom'!$B$8-0.6))*AO212+AP212)</f>
        <v>21.916666666666664</v>
      </c>
      <c r="BK212" s="10" t="e">
        <f t="shared" ca="1" si="476"/>
        <v>#N/A</v>
      </c>
      <c r="BL212" s="379"/>
      <c r="BM212" s="104" t="e">
        <f t="shared" ca="1" si="527"/>
        <v>#N/A</v>
      </c>
      <c r="BN212" s="40" t="e">
        <f ca="1">IF(ISNUMBER(BK212),BN211+SUMIF(BK206:BK217,"&lt;&gt;#NV",BK206:BK217)/COUNTIF(BK206:BK217,"&lt;&gt;#NV"),#N/A)</f>
        <v>#N/A</v>
      </c>
      <c r="BO212" s="10" t="e">
        <f t="shared" ca="1" si="557"/>
        <v>#N/A</v>
      </c>
      <c r="BP212" s="104" t="e">
        <f t="shared" ca="1" si="477"/>
        <v>#N/A</v>
      </c>
      <c r="BQ212" s="104">
        <f t="shared" ca="1" si="500"/>
        <v>-59435.902845057251</v>
      </c>
      <c r="BR212" s="10">
        <f t="shared" si="517"/>
        <v>9.9166666666666661</v>
      </c>
      <c r="BS212" s="311"/>
      <c r="BT212" s="307"/>
      <c r="BU212" s="295">
        <f t="shared" si="518"/>
        <v>0</v>
      </c>
      <c r="BV212" s="323"/>
      <c r="BW212" s="299">
        <f t="shared" si="519"/>
        <v>0</v>
      </c>
      <c r="BX212" s="295">
        <f t="shared" si="520"/>
        <v>0</v>
      </c>
      <c r="BY212" s="382"/>
      <c r="BZ212" s="299">
        <f t="shared" si="528"/>
        <v>0</v>
      </c>
      <c r="CA212" s="295">
        <f t="shared" si="540"/>
        <v>0</v>
      </c>
      <c r="CB212" s="323"/>
      <c r="CC212" s="314">
        <f t="shared" si="573"/>
        <v>0</v>
      </c>
      <c r="CD212" s="326"/>
      <c r="CE212" s="299">
        <f t="shared" si="521"/>
        <v>0</v>
      </c>
      <c r="CF212" s="284">
        <f t="shared" si="574"/>
        <v>0</v>
      </c>
      <c r="CG212" s="323"/>
      <c r="CH212" s="302">
        <f t="shared" si="558"/>
        <v>0</v>
      </c>
      <c r="CI212" s="108">
        <f t="shared" si="522"/>
        <v>0</v>
      </c>
      <c r="CJ212" s="200">
        <f t="shared" si="523"/>
        <v>0</v>
      </c>
      <c r="CK212" s="197">
        <f t="shared" si="549"/>
        <v>0</v>
      </c>
      <c r="CL212" s="203">
        <f t="shared" si="524"/>
        <v>12</v>
      </c>
      <c r="CM212" s="4">
        <f>U212*Jahresdaten!$AD$2</f>
        <v>0</v>
      </c>
      <c r="CN212" s="112">
        <f>CJ212*Jahresdaten!$AD$2</f>
        <v>0</v>
      </c>
      <c r="CO212" s="366"/>
      <c r="CP212" s="116">
        <f>U212*Jahresdaten!$AD$3</f>
        <v>0</v>
      </c>
      <c r="CQ212" s="12">
        <f>CJ212*Jahresdaten!$AD$3</f>
        <v>0</v>
      </c>
      <c r="CR212" s="353"/>
      <c r="CS212" s="14"/>
      <c r="CT212" s="136"/>
      <c r="CU212" s="140" t="str">
        <f>IF(CT212=0,"",CT212*'Vergleich Holz Strom'!$B$2)</f>
        <v/>
      </c>
      <c r="CV212" s="121" t="s">
        <v>6</v>
      </c>
      <c r="CW212" s="366"/>
      <c r="CX212" s="345"/>
      <c r="CY212" s="345"/>
      <c r="CZ212" s="345"/>
      <c r="DA212" s="348"/>
      <c r="DB212" s="94"/>
      <c r="DC212" s="88">
        <f t="shared" si="453"/>
        <v>35257.094666666613</v>
      </c>
      <c r="DD212" s="94"/>
      <c r="DE212" s="88">
        <f t="shared" si="465"/>
        <v>-27566.112547000001</v>
      </c>
      <c r="DF212" s="100" t="e">
        <f ca="1">BE212+(SUM(CS206:CS217)/12)</f>
        <v>#N/A</v>
      </c>
      <c r="DG212" s="351"/>
      <c r="DH212" s="8">
        <f t="shared" si="564"/>
        <v>0</v>
      </c>
      <c r="DI212" s="123">
        <f t="shared" si="478"/>
        <v>14000</v>
      </c>
      <c r="DJ212" s="2">
        <f t="shared" si="565"/>
        <v>0</v>
      </c>
      <c r="DK212" s="127">
        <f>DK217/12*7</f>
        <v>4550</v>
      </c>
      <c r="DL212" s="2">
        <f t="shared" si="566"/>
        <v>650</v>
      </c>
      <c r="DM212" s="130">
        <f t="shared" si="567"/>
        <v>0</v>
      </c>
      <c r="DN212" s="3">
        <f>DN217/12*7</f>
        <v>1750</v>
      </c>
      <c r="DO212" s="130">
        <f t="shared" si="568"/>
        <v>250</v>
      </c>
      <c r="DP212" s="4">
        <f t="shared" si="569"/>
        <v>0</v>
      </c>
      <c r="DQ212" s="116">
        <f t="shared" si="570"/>
        <v>7700</v>
      </c>
      <c r="DR212" s="116">
        <f t="shared" si="575"/>
        <v>1250</v>
      </c>
    </row>
    <row r="213" spans="1:122" ht="14.25" customHeight="1" thickBot="1" x14ac:dyDescent="0.2">
      <c r="A213" s="416"/>
      <c r="B213" s="16">
        <v>49796</v>
      </c>
      <c r="C213" s="207">
        <f>'PV-Felder'!$I$6</f>
        <v>3391.3999999999996</v>
      </c>
      <c r="D213" s="351"/>
      <c r="E213" s="61">
        <v>0</v>
      </c>
      <c r="F213" s="351"/>
      <c r="G213" s="56" t="e">
        <f t="shared" ca="1" si="509"/>
        <v>#N/A</v>
      </c>
      <c r="H213" s="351"/>
      <c r="I213" s="61">
        <v>0</v>
      </c>
      <c r="J213" s="351"/>
      <c r="K213" s="61">
        <v>0</v>
      </c>
      <c r="L213" s="351"/>
      <c r="M213" s="65">
        <f t="shared" si="536"/>
        <v>0</v>
      </c>
      <c r="N213" s="373"/>
      <c r="O213" s="288"/>
      <c r="P213" s="288"/>
      <c r="Q213" s="286">
        <f t="shared" si="510"/>
        <v>0</v>
      </c>
      <c r="R213" s="334"/>
      <c r="S213" s="61">
        <v>0</v>
      </c>
      <c r="T213" s="376"/>
      <c r="U213" s="61">
        <v>0</v>
      </c>
      <c r="V213" s="342"/>
      <c r="W213" s="61">
        <v>0</v>
      </c>
      <c r="X213" s="342"/>
      <c r="Y213" s="211" t="e">
        <f t="shared" si="444"/>
        <v>#N/A</v>
      </c>
      <c r="Z213" s="370"/>
      <c r="AA213" s="61">
        <v>0</v>
      </c>
      <c r="AB213" s="351"/>
      <c r="AC213" s="61">
        <v>0</v>
      </c>
      <c r="AD213" s="351"/>
      <c r="AE213" s="73" t="e">
        <f t="shared" si="472"/>
        <v>#N/A</v>
      </c>
      <c r="AF213" s="356"/>
      <c r="AG213" s="73" t="e">
        <f t="shared" si="473"/>
        <v>#N/A</v>
      </c>
      <c r="AH213" s="356"/>
      <c r="AI213" s="221">
        <f t="shared" si="571"/>
        <v>29.26</v>
      </c>
      <c r="AJ213" s="78">
        <f t="shared" ref="AJ213:AP213" si="580">AJ212</f>
        <v>0.26750000000000002</v>
      </c>
      <c r="AK213" s="79">
        <f t="shared" si="580"/>
        <v>9.9166666666666661</v>
      </c>
      <c r="AL213" s="80">
        <f t="shared" si="580"/>
        <v>187</v>
      </c>
      <c r="AM213" s="78">
        <f t="shared" si="580"/>
        <v>9.737942583732058E-2</v>
      </c>
      <c r="AN213" s="80">
        <f t="shared" si="580"/>
        <v>143</v>
      </c>
      <c r="AO213" s="78">
        <f t="shared" si="580"/>
        <v>0.21099999999999999</v>
      </c>
      <c r="AP213" s="88">
        <f t="shared" si="580"/>
        <v>12</v>
      </c>
      <c r="AQ213" s="64">
        <f t="shared" si="545"/>
        <v>21.5</v>
      </c>
      <c r="AR213" s="64">
        <f t="shared" si="546"/>
        <v>11.5</v>
      </c>
      <c r="AS213" s="88">
        <f t="shared" si="547"/>
        <v>1.1830000000000001</v>
      </c>
      <c r="AT213" s="91">
        <f t="shared" si="420"/>
        <v>283</v>
      </c>
      <c r="AU213" s="94"/>
      <c r="AV213" s="95"/>
      <c r="AW213" s="56">
        <f t="shared" si="512"/>
        <v>0</v>
      </c>
      <c r="AX213" s="351"/>
      <c r="AY213" s="100">
        <f t="shared" si="551"/>
        <v>9.9166666666666661</v>
      </c>
      <c r="AZ213" s="360"/>
      <c r="BA213" s="91">
        <f t="shared" si="563"/>
        <v>-2027.6125470000061</v>
      </c>
      <c r="BB213" s="5">
        <f t="shared" si="475"/>
        <v>-9.9166666666666661</v>
      </c>
      <c r="BC213" s="363"/>
      <c r="BD213" s="91" t="e">
        <f t="shared" ca="1" si="513"/>
        <v>#N/A</v>
      </c>
      <c r="BE213" s="91" t="e">
        <f t="shared" ca="1" si="514"/>
        <v>#N/A</v>
      </c>
      <c r="BF213" s="91">
        <f t="shared" si="515"/>
        <v>31.833333333333329</v>
      </c>
      <c r="BG213" s="91" t="e">
        <f t="shared" ca="1" si="516"/>
        <v>#N/A</v>
      </c>
      <c r="BH213" s="91" t="e">
        <f t="shared" ca="1" si="561"/>
        <v>#N/A</v>
      </c>
      <c r="BI213" s="10" t="e">
        <f t="shared" ca="1" si="539"/>
        <v>#N/A</v>
      </c>
      <c r="BJ213" s="104">
        <f>((M213+Q213)*AJ213+AK213)+((U213-W213+W213/('Vergleich Holz Strom'!$B$8-0.6))*AO213+AP213)</f>
        <v>21.916666666666664</v>
      </c>
      <c r="BK213" s="10" t="e">
        <f t="shared" ca="1" si="476"/>
        <v>#N/A</v>
      </c>
      <c r="BL213" s="379"/>
      <c r="BM213" s="104" t="e">
        <f t="shared" ca="1" si="527"/>
        <v>#N/A</v>
      </c>
      <c r="BN213" s="40" t="e">
        <f ca="1">IF(ISNUMBER(BK213),BN212+SUMIF(BK206:BK217,"&lt;&gt;#NV",BK206:BK217)/COUNTIF(BK206:BK217,"&lt;&gt;#NV"),#N/A)</f>
        <v>#N/A</v>
      </c>
      <c r="BO213" s="10" t="e">
        <f t="shared" ca="1" si="557"/>
        <v>#N/A</v>
      </c>
      <c r="BP213" s="104" t="e">
        <f t="shared" ca="1" si="477"/>
        <v>#N/A</v>
      </c>
      <c r="BQ213" s="104">
        <f t="shared" ca="1" si="500"/>
        <v>-59416.70284505724</v>
      </c>
      <c r="BR213" s="10">
        <f t="shared" si="517"/>
        <v>9.9166666666666661</v>
      </c>
      <c r="BS213" s="311"/>
      <c r="BT213" s="307"/>
      <c r="BU213" s="295">
        <f t="shared" si="518"/>
        <v>0</v>
      </c>
      <c r="BV213" s="323"/>
      <c r="BW213" s="299">
        <f t="shared" si="519"/>
        <v>0</v>
      </c>
      <c r="BX213" s="295">
        <f t="shared" si="520"/>
        <v>0</v>
      </c>
      <c r="BY213" s="382"/>
      <c r="BZ213" s="299">
        <f t="shared" si="528"/>
        <v>0</v>
      </c>
      <c r="CA213" s="295">
        <f t="shared" si="540"/>
        <v>0</v>
      </c>
      <c r="CB213" s="323"/>
      <c r="CC213" s="314">
        <f t="shared" si="573"/>
        <v>0</v>
      </c>
      <c r="CD213" s="326"/>
      <c r="CE213" s="299">
        <f t="shared" si="521"/>
        <v>0</v>
      </c>
      <c r="CF213" s="284">
        <f t="shared" si="574"/>
        <v>0</v>
      </c>
      <c r="CG213" s="323"/>
      <c r="CH213" s="302">
        <f t="shared" si="558"/>
        <v>0</v>
      </c>
      <c r="CI213" s="108">
        <f t="shared" si="522"/>
        <v>0</v>
      </c>
      <c r="CJ213" s="200">
        <f t="shared" si="523"/>
        <v>0</v>
      </c>
      <c r="CK213" s="197">
        <f t="shared" si="549"/>
        <v>0</v>
      </c>
      <c r="CL213" s="203">
        <f t="shared" si="524"/>
        <v>12</v>
      </c>
      <c r="CM213" s="4">
        <f>U213*Jahresdaten!$AD$2</f>
        <v>0</v>
      </c>
      <c r="CN213" s="112">
        <f>CJ213*Jahresdaten!$AD$2</f>
        <v>0</v>
      </c>
      <c r="CO213" s="366"/>
      <c r="CP213" s="116">
        <f>U213*Jahresdaten!$AD$3</f>
        <v>0</v>
      </c>
      <c r="CQ213" s="12">
        <f>CJ213*Jahresdaten!$AD$3</f>
        <v>0</v>
      </c>
      <c r="CR213" s="353"/>
      <c r="CS213" s="14"/>
      <c r="CT213" s="136"/>
      <c r="CU213" s="140" t="str">
        <f>IF(CT213=0,"",CT213*'Vergleich Holz Strom'!$B$2)</f>
        <v/>
      </c>
      <c r="CV213" s="353">
        <f>SUM(CS206:CS217)</f>
        <v>1169</v>
      </c>
      <c r="CW213" s="366"/>
      <c r="CX213" s="345"/>
      <c r="CY213" s="345"/>
      <c r="CZ213" s="345"/>
      <c r="DA213" s="348"/>
      <c r="DB213" s="94"/>
      <c r="DC213" s="88">
        <f t="shared" si="453"/>
        <v>35434.177999999949</v>
      </c>
      <c r="DD213" s="94"/>
      <c r="DE213" s="88">
        <f t="shared" si="465"/>
        <v>-27709.112547000001</v>
      </c>
      <c r="DF213" s="100" t="e">
        <f ca="1">BE213+(SUM(CS206:CS217)/12)</f>
        <v>#N/A</v>
      </c>
      <c r="DG213" s="351"/>
      <c r="DH213" s="8">
        <f t="shared" si="564"/>
        <v>0</v>
      </c>
      <c r="DI213" s="123">
        <f t="shared" si="478"/>
        <v>16000</v>
      </c>
      <c r="DJ213" s="2">
        <f t="shared" si="565"/>
        <v>0</v>
      </c>
      <c r="DK213" s="127">
        <f>DK217/12*8</f>
        <v>5200</v>
      </c>
      <c r="DL213" s="2">
        <f t="shared" si="566"/>
        <v>650</v>
      </c>
      <c r="DM213" s="130">
        <f t="shared" si="567"/>
        <v>0</v>
      </c>
      <c r="DN213" s="3">
        <f>DN217/12*8</f>
        <v>2000</v>
      </c>
      <c r="DO213" s="130">
        <f t="shared" si="568"/>
        <v>250</v>
      </c>
      <c r="DP213" s="4">
        <f t="shared" si="569"/>
        <v>0</v>
      </c>
      <c r="DQ213" s="116">
        <f t="shared" si="570"/>
        <v>8800</v>
      </c>
      <c r="DR213" s="116">
        <f t="shared" si="575"/>
        <v>1100</v>
      </c>
    </row>
    <row r="214" spans="1:122" ht="14.25" customHeight="1" thickBot="1" x14ac:dyDescent="0.2">
      <c r="A214" s="416"/>
      <c r="B214" s="16">
        <v>49827</v>
      </c>
      <c r="C214" s="207">
        <f>'PV-Felder'!$I$7</f>
        <v>3595.6000000000004</v>
      </c>
      <c r="D214" s="351"/>
      <c r="E214" s="61">
        <v>0</v>
      </c>
      <c r="F214" s="351"/>
      <c r="G214" s="56" t="e">
        <f t="shared" ca="1" si="509"/>
        <v>#N/A</v>
      </c>
      <c r="H214" s="351"/>
      <c r="I214" s="61">
        <v>0</v>
      </c>
      <c r="J214" s="351"/>
      <c r="K214" s="61">
        <v>0</v>
      </c>
      <c r="L214" s="351"/>
      <c r="M214" s="65">
        <f t="shared" si="536"/>
        <v>0</v>
      </c>
      <c r="N214" s="373"/>
      <c r="O214" s="288"/>
      <c r="P214" s="288"/>
      <c r="Q214" s="286">
        <f t="shared" si="510"/>
        <v>0</v>
      </c>
      <c r="R214" s="334"/>
      <c r="S214" s="61">
        <v>0</v>
      </c>
      <c r="T214" s="376"/>
      <c r="U214" s="61">
        <v>0</v>
      </c>
      <c r="V214" s="342"/>
      <c r="W214" s="61">
        <v>0</v>
      </c>
      <c r="X214" s="342"/>
      <c r="Y214" s="211" t="e">
        <f t="shared" si="444"/>
        <v>#N/A</v>
      </c>
      <c r="Z214" s="370"/>
      <c r="AA214" s="61">
        <v>0</v>
      </c>
      <c r="AB214" s="351"/>
      <c r="AC214" s="61">
        <v>0</v>
      </c>
      <c r="AD214" s="351"/>
      <c r="AE214" s="73" t="e">
        <f t="shared" si="472"/>
        <v>#N/A</v>
      </c>
      <c r="AF214" s="356"/>
      <c r="AG214" s="73" t="e">
        <f t="shared" si="473"/>
        <v>#N/A</v>
      </c>
      <c r="AH214" s="356"/>
      <c r="AI214" s="221">
        <f t="shared" si="571"/>
        <v>29.26</v>
      </c>
      <c r="AJ214" s="78">
        <f t="shared" ref="AJ214:AP214" si="581">AJ213</f>
        <v>0.26750000000000002</v>
      </c>
      <c r="AK214" s="79">
        <f t="shared" si="581"/>
        <v>9.9166666666666661</v>
      </c>
      <c r="AL214" s="80">
        <f t="shared" si="581"/>
        <v>187</v>
      </c>
      <c r="AM214" s="78">
        <f t="shared" si="581"/>
        <v>9.737942583732058E-2</v>
      </c>
      <c r="AN214" s="80">
        <f t="shared" si="581"/>
        <v>143</v>
      </c>
      <c r="AO214" s="78">
        <f t="shared" si="581"/>
        <v>0.21099999999999999</v>
      </c>
      <c r="AP214" s="88">
        <f t="shared" si="581"/>
        <v>12</v>
      </c>
      <c r="AQ214" s="64">
        <f t="shared" si="545"/>
        <v>21.5</v>
      </c>
      <c r="AR214" s="64">
        <f t="shared" si="546"/>
        <v>11.5</v>
      </c>
      <c r="AS214" s="88">
        <f t="shared" si="547"/>
        <v>1.1830000000000001</v>
      </c>
      <c r="AT214" s="91">
        <f t="shared" si="420"/>
        <v>283</v>
      </c>
      <c r="AU214" s="94"/>
      <c r="AV214" s="95"/>
      <c r="AW214" s="56">
        <f t="shared" si="512"/>
        <v>0</v>
      </c>
      <c r="AX214" s="351"/>
      <c r="AY214" s="100">
        <f t="shared" si="551"/>
        <v>9.9166666666666661</v>
      </c>
      <c r="AZ214" s="360"/>
      <c r="BA214" s="91">
        <f t="shared" si="563"/>
        <v>-2037.5292136666728</v>
      </c>
      <c r="BB214" s="5">
        <f t="shared" si="475"/>
        <v>-9.9166666666666661</v>
      </c>
      <c r="BC214" s="363"/>
      <c r="BD214" s="91" t="e">
        <f t="shared" ca="1" si="513"/>
        <v>#N/A</v>
      </c>
      <c r="BE214" s="91" t="e">
        <f t="shared" ca="1" si="514"/>
        <v>#N/A</v>
      </c>
      <c r="BF214" s="91">
        <f t="shared" si="515"/>
        <v>31.833333333333329</v>
      </c>
      <c r="BG214" s="91" t="e">
        <f t="shared" ca="1" si="516"/>
        <v>#N/A</v>
      </c>
      <c r="BH214" s="91" t="e">
        <f t="shared" ca="1" si="561"/>
        <v>#N/A</v>
      </c>
      <c r="BI214" s="10" t="e">
        <f t="shared" ca="1" si="539"/>
        <v>#N/A</v>
      </c>
      <c r="BJ214" s="104">
        <f>((M214+Q214)*AJ214+AK214)+((U214-W214+W214/('Vergleich Holz Strom'!$B$8-0.6))*AO214+AP214)</f>
        <v>21.916666666666664</v>
      </c>
      <c r="BK214" s="10" t="e">
        <f t="shared" ca="1" si="476"/>
        <v>#N/A</v>
      </c>
      <c r="BL214" s="379"/>
      <c r="BM214" s="104" t="e">
        <f t="shared" ca="1" si="527"/>
        <v>#N/A</v>
      </c>
      <c r="BN214" s="40" t="e">
        <f ca="1">IF(ISNUMBER(BK214),BN213+SUMIF(BK206:BK217,"&lt;&gt;#NV",BK206:BK217)/COUNTIF(BK206:BK217,"&lt;&gt;#NV"),#N/A)</f>
        <v>#N/A</v>
      </c>
      <c r="BO214" s="10" t="e">
        <f t="shared" ca="1" si="557"/>
        <v>#N/A</v>
      </c>
      <c r="BP214" s="104" t="e">
        <f t="shared" ca="1" si="477"/>
        <v>#N/A</v>
      </c>
      <c r="BQ214" s="104">
        <f t="shared" ca="1" si="500"/>
        <v>-59400.502473614317</v>
      </c>
      <c r="BR214" s="10">
        <f t="shared" si="517"/>
        <v>9.9166666666666661</v>
      </c>
      <c r="BS214" s="311"/>
      <c r="BT214" s="307"/>
      <c r="BU214" s="295">
        <f t="shared" si="518"/>
        <v>0</v>
      </c>
      <c r="BV214" s="323"/>
      <c r="BW214" s="299">
        <f t="shared" si="519"/>
        <v>0</v>
      </c>
      <c r="BX214" s="295">
        <f t="shared" si="520"/>
        <v>0</v>
      </c>
      <c r="BY214" s="382"/>
      <c r="BZ214" s="299">
        <f t="shared" si="528"/>
        <v>0</v>
      </c>
      <c r="CA214" s="295">
        <f t="shared" si="540"/>
        <v>0</v>
      </c>
      <c r="CB214" s="323"/>
      <c r="CC214" s="314">
        <f t="shared" si="573"/>
        <v>0</v>
      </c>
      <c r="CD214" s="326"/>
      <c r="CE214" s="299">
        <f t="shared" si="521"/>
        <v>0</v>
      </c>
      <c r="CF214" s="284">
        <f t="shared" si="574"/>
        <v>0</v>
      </c>
      <c r="CG214" s="323"/>
      <c r="CH214" s="302">
        <f t="shared" si="558"/>
        <v>0</v>
      </c>
      <c r="CI214" s="108">
        <f t="shared" si="522"/>
        <v>0</v>
      </c>
      <c r="CJ214" s="200">
        <f t="shared" si="523"/>
        <v>0</v>
      </c>
      <c r="CK214" s="197">
        <f t="shared" si="549"/>
        <v>0</v>
      </c>
      <c r="CL214" s="203">
        <f t="shared" si="524"/>
        <v>12</v>
      </c>
      <c r="CM214" s="4">
        <f>U214*Jahresdaten!$AD$2</f>
        <v>0</v>
      </c>
      <c r="CN214" s="112">
        <f>CJ214*Jahresdaten!$AD$2</f>
        <v>0</v>
      </c>
      <c r="CO214" s="366"/>
      <c r="CP214" s="116">
        <f>U214*Jahresdaten!$AD$3</f>
        <v>0</v>
      </c>
      <c r="CQ214" s="12">
        <f>CJ214*Jahresdaten!$AD$3</f>
        <v>0</v>
      </c>
      <c r="CR214" s="353"/>
      <c r="CS214" s="14"/>
      <c r="CT214" s="136"/>
      <c r="CU214" s="140" t="str">
        <f>IF(CT214=0,"",CT214*'Vergleich Holz Strom'!$B$2)</f>
        <v/>
      </c>
      <c r="CV214" s="353"/>
      <c r="CW214" s="366"/>
      <c r="CX214" s="345"/>
      <c r="CY214" s="345"/>
      <c r="CZ214" s="345"/>
      <c r="DA214" s="348"/>
      <c r="DB214" s="94"/>
      <c r="DC214" s="88">
        <f t="shared" si="453"/>
        <v>35611.261333333285</v>
      </c>
      <c r="DD214" s="94"/>
      <c r="DE214" s="88">
        <f t="shared" si="465"/>
        <v>-27852.112547000001</v>
      </c>
      <c r="DF214" s="100" t="e">
        <f ca="1">BE214+(SUM(CS206:CS217)/12)</f>
        <v>#N/A</v>
      </c>
      <c r="DG214" s="351"/>
      <c r="DH214" s="8">
        <f t="shared" si="564"/>
        <v>0</v>
      </c>
      <c r="DI214" s="123">
        <f t="shared" si="478"/>
        <v>17200</v>
      </c>
      <c r="DJ214" s="2">
        <f t="shared" si="565"/>
        <v>0</v>
      </c>
      <c r="DK214" s="127">
        <f>DK217/12*9</f>
        <v>5850</v>
      </c>
      <c r="DL214" s="2">
        <f t="shared" si="566"/>
        <v>650</v>
      </c>
      <c r="DM214" s="130">
        <f t="shared" si="567"/>
        <v>0</v>
      </c>
      <c r="DN214" s="3">
        <f>DN217/12*9</f>
        <v>2250</v>
      </c>
      <c r="DO214" s="130">
        <f t="shared" si="568"/>
        <v>250</v>
      </c>
      <c r="DP214" s="4">
        <f t="shared" si="569"/>
        <v>0</v>
      </c>
      <c r="DQ214" s="116">
        <f t="shared" si="570"/>
        <v>9100</v>
      </c>
      <c r="DR214" s="116">
        <f t="shared" si="575"/>
        <v>300</v>
      </c>
    </row>
    <row r="215" spans="1:122" ht="14.25" customHeight="1" thickBot="1" x14ac:dyDescent="0.2">
      <c r="A215" s="416"/>
      <c r="B215" s="16">
        <v>49857</v>
      </c>
      <c r="C215" s="207">
        <f>'PV-Felder'!$I$8</f>
        <v>3593.8</v>
      </c>
      <c r="D215" s="351"/>
      <c r="E215" s="61">
        <v>0</v>
      </c>
      <c r="F215" s="351"/>
      <c r="G215" s="56" t="e">
        <f t="shared" ca="1" si="509"/>
        <v>#N/A</v>
      </c>
      <c r="H215" s="351"/>
      <c r="I215" s="61">
        <v>0</v>
      </c>
      <c r="J215" s="351"/>
      <c r="K215" s="61">
        <v>0</v>
      </c>
      <c r="L215" s="351"/>
      <c r="M215" s="65">
        <f t="shared" si="536"/>
        <v>0</v>
      </c>
      <c r="N215" s="373"/>
      <c r="O215" s="288"/>
      <c r="P215" s="288"/>
      <c r="Q215" s="286">
        <f t="shared" si="510"/>
        <v>0</v>
      </c>
      <c r="R215" s="334"/>
      <c r="S215" s="61">
        <v>0</v>
      </c>
      <c r="T215" s="376"/>
      <c r="U215" s="61">
        <v>0</v>
      </c>
      <c r="V215" s="342"/>
      <c r="W215" s="61">
        <v>0</v>
      </c>
      <c r="X215" s="342"/>
      <c r="Y215" s="211" t="e">
        <f t="shared" si="444"/>
        <v>#N/A</v>
      </c>
      <c r="Z215" s="370"/>
      <c r="AA215" s="61">
        <v>0</v>
      </c>
      <c r="AB215" s="351"/>
      <c r="AC215" s="61">
        <v>0</v>
      </c>
      <c r="AD215" s="351"/>
      <c r="AE215" s="73" t="e">
        <f t="shared" si="472"/>
        <v>#N/A</v>
      </c>
      <c r="AF215" s="356"/>
      <c r="AG215" s="73" t="e">
        <f t="shared" si="473"/>
        <v>#N/A</v>
      </c>
      <c r="AH215" s="356"/>
      <c r="AI215" s="221">
        <f t="shared" si="571"/>
        <v>29.26</v>
      </c>
      <c r="AJ215" s="78">
        <f t="shared" ref="AJ215:AP215" si="582">AJ214</f>
        <v>0.26750000000000002</v>
      </c>
      <c r="AK215" s="79">
        <f t="shared" si="582"/>
        <v>9.9166666666666661</v>
      </c>
      <c r="AL215" s="80">
        <f t="shared" si="582"/>
        <v>187</v>
      </c>
      <c r="AM215" s="78">
        <f t="shared" si="582"/>
        <v>9.737942583732058E-2</v>
      </c>
      <c r="AN215" s="80">
        <f t="shared" si="582"/>
        <v>143</v>
      </c>
      <c r="AO215" s="78">
        <f t="shared" si="582"/>
        <v>0.21099999999999999</v>
      </c>
      <c r="AP215" s="88">
        <f t="shared" si="582"/>
        <v>12</v>
      </c>
      <c r="AQ215" s="64">
        <f t="shared" si="545"/>
        <v>21.5</v>
      </c>
      <c r="AR215" s="64">
        <f t="shared" si="546"/>
        <v>11.5</v>
      </c>
      <c r="AS215" s="88">
        <f t="shared" si="547"/>
        <v>1.1830000000000001</v>
      </c>
      <c r="AT215" s="91">
        <f t="shared" si="420"/>
        <v>283</v>
      </c>
      <c r="AU215" s="94"/>
      <c r="AV215" s="95"/>
      <c r="AW215" s="56">
        <f t="shared" si="512"/>
        <v>0</v>
      </c>
      <c r="AX215" s="351"/>
      <c r="AY215" s="100">
        <f t="shared" si="551"/>
        <v>9.9166666666666661</v>
      </c>
      <c r="AZ215" s="360"/>
      <c r="BA215" s="91">
        <f t="shared" si="563"/>
        <v>-2047.4458803333396</v>
      </c>
      <c r="BB215" s="5">
        <f t="shared" si="475"/>
        <v>-9.9166666666666661</v>
      </c>
      <c r="BC215" s="363"/>
      <c r="BD215" s="91" t="e">
        <f t="shared" ca="1" si="513"/>
        <v>#N/A</v>
      </c>
      <c r="BE215" s="91" t="e">
        <f t="shared" ca="1" si="514"/>
        <v>#N/A</v>
      </c>
      <c r="BF215" s="91">
        <f t="shared" si="515"/>
        <v>31.833333333333329</v>
      </c>
      <c r="BG215" s="91" t="e">
        <f t="shared" ca="1" si="516"/>
        <v>#N/A</v>
      </c>
      <c r="BH215" s="91" t="e">
        <f t="shared" ca="1" si="561"/>
        <v>#N/A</v>
      </c>
      <c r="BI215" s="10" t="e">
        <f t="shared" ca="1" si="539"/>
        <v>#N/A</v>
      </c>
      <c r="BJ215" s="104">
        <f>((M215+Q215)*AJ215+AK215)+((U215-W215+W215/('Vergleich Holz Strom'!$B$8-0.6))*AO215+AP215)</f>
        <v>21.916666666666664</v>
      </c>
      <c r="BK215" s="10" t="e">
        <f t="shared" ca="1" si="476"/>
        <v>#N/A</v>
      </c>
      <c r="BL215" s="379"/>
      <c r="BM215" s="104" t="e">
        <f t="shared" ca="1" si="527"/>
        <v>#N/A</v>
      </c>
      <c r="BN215" s="40" t="e">
        <f ca="1">IF(ISNUMBER(BK215),BN214+SUMIF(BK206:BK217,"&lt;&gt;#NV",BK206:BK217)/COUNTIF(BK206:BK217,"&lt;&gt;#NV"),#N/A)</f>
        <v>#N/A</v>
      </c>
      <c r="BO215" s="10" t="e">
        <f ca="1">BK215+AT215+AU215</f>
        <v>#N/A</v>
      </c>
      <c r="BP215" s="104" t="e">
        <f t="shared" ca="1" si="477"/>
        <v>#N/A</v>
      </c>
      <c r="BQ215" s="104">
        <f t="shared" ca="1" si="500"/>
        <v>-59384.302102171394</v>
      </c>
      <c r="BR215" s="10">
        <f t="shared" si="517"/>
        <v>9.9166666666666661</v>
      </c>
      <c r="BS215" s="311"/>
      <c r="BT215" s="307"/>
      <c r="BU215" s="295">
        <f t="shared" si="518"/>
        <v>0</v>
      </c>
      <c r="BV215" s="323"/>
      <c r="BW215" s="299">
        <f t="shared" si="519"/>
        <v>0</v>
      </c>
      <c r="BX215" s="295">
        <f t="shared" si="520"/>
        <v>0</v>
      </c>
      <c r="BY215" s="382"/>
      <c r="BZ215" s="299">
        <f t="shared" si="528"/>
        <v>0</v>
      </c>
      <c r="CA215" s="295">
        <f t="shared" si="540"/>
        <v>0</v>
      </c>
      <c r="CB215" s="323"/>
      <c r="CC215" s="314">
        <f t="shared" si="573"/>
        <v>0</v>
      </c>
      <c r="CD215" s="326"/>
      <c r="CE215" s="299">
        <f t="shared" si="521"/>
        <v>0</v>
      </c>
      <c r="CF215" s="284">
        <f t="shared" si="574"/>
        <v>0</v>
      </c>
      <c r="CG215" s="323"/>
      <c r="CH215" s="302">
        <f t="shared" si="558"/>
        <v>0</v>
      </c>
      <c r="CI215" s="108">
        <f t="shared" si="522"/>
        <v>0</v>
      </c>
      <c r="CJ215" s="200">
        <f t="shared" si="523"/>
        <v>0</v>
      </c>
      <c r="CK215" s="197">
        <f t="shared" si="549"/>
        <v>0</v>
      </c>
      <c r="CL215" s="203">
        <f t="shared" si="524"/>
        <v>12</v>
      </c>
      <c r="CM215" s="4">
        <f>U215*Jahresdaten!$AD$2</f>
        <v>0</v>
      </c>
      <c r="CN215" s="112">
        <f>CJ215*Jahresdaten!$AD$2</f>
        <v>0</v>
      </c>
      <c r="CO215" s="366"/>
      <c r="CP215" s="116">
        <f>U215*Jahresdaten!$AD$3</f>
        <v>0</v>
      </c>
      <c r="CQ215" s="12">
        <f>CJ215*Jahresdaten!$AD$3</f>
        <v>0</v>
      </c>
      <c r="CR215" s="353"/>
      <c r="CS215" s="14"/>
      <c r="CT215" s="136"/>
      <c r="CU215" s="140" t="str">
        <f>IF(CT215=0,"",CT215*'Vergleich Holz Strom'!$B$2)</f>
        <v/>
      </c>
      <c r="CV215" s="353"/>
      <c r="CW215" s="366"/>
      <c r="CX215" s="345"/>
      <c r="CY215" s="345"/>
      <c r="CZ215" s="345"/>
      <c r="DA215" s="348"/>
      <c r="DB215" s="94"/>
      <c r="DC215" s="88">
        <f t="shared" si="453"/>
        <v>35788.34466666662</v>
      </c>
      <c r="DD215" s="94"/>
      <c r="DE215" s="88">
        <f t="shared" si="465"/>
        <v>-27995.112547000001</v>
      </c>
      <c r="DF215" s="100" t="e">
        <f ca="1">BE215+(SUM(CS206:CS217)/12)</f>
        <v>#N/A</v>
      </c>
      <c r="DG215" s="351"/>
      <c r="DH215" s="8">
        <f t="shared" si="564"/>
        <v>0</v>
      </c>
      <c r="DI215" s="123">
        <f t="shared" si="478"/>
        <v>18250</v>
      </c>
      <c r="DJ215" s="2">
        <f t="shared" si="565"/>
        <v>0</v>
      </c>
      <c r="DK215" s="127">
        <f>DK217/12*10</f>
        <v>6500</v>
      </c>
      <c r="DL215" s="2">
        <f t="shared" si="566"/>
        <v>650</v>
      </c>
      <c r="DM215" s="130">
        <f t="shared" si="567"/>
        <v>0</v>
      </c>
      <c r="DN215" s="3">
        <f>DN217/12*10</f>
        <v>2500</v>
      </c>
      <c r="DO215" s="130">
        <f t="shared" si="568"/>
        <v>250</v>
      </c>
      <c r="DP215" s="4">
        <f t="shared" si="569"/>
        <v>0</v>
      </c>
      <c r="DQ215" s="116">
        <f t="shared" si="570"/>
        <v>9250</v>
      </c>
      <c r="DR215" s="116">
        <f t="shared" si="575"/>
        <v>150</v>
      </c>
    </row>
    <row r="216" spans="1:122" ht="14.25" customHeight="1" thickBot="1" x14ac:dyDescent="0.2">
      <c r="A216" s="416"/>
      <c r="B216" s="16">
        <v>49888</v>
      </c>
      <c r="C216" s="207">
        <f>'PV-Felder'!$I$9</f>
        <v>3065.7</v>
      </c>
      <c r="D216" s="351"/>
      <c r="E216" s="61">
        <v>0</v>
      </c>
      <c r="F216" s="351"/>
      <c r="G216" s="56" t="e">
        <f t="shared" ca="1" si="509"/>
        <v>#N/A</v>
      </c>
      <c r="H216" s="351"/>
      <c r="I216" s="61">
        <v>0</v>
      </c>
      <c r="J216" s="351"/>
      <c r="K216" s="61">
        <v>0</v>
      </c>
      <c r="L216" s="351"/>
      <c r="M216" s="65">
        <f t="shared" si="536"/>
        <v>0</v>
      </c>
      <c r="N216" s="373"/>
      <c r="O216" s="288"/>
      <c r="P216" s="288"/>
      <c r="Q216" s="286">
        <f t="shared" si="510"/>
        <v>0</v>
      </c>
      <c r="R216" s="334"/>
      <c r="S216" s="61">
        <v>0</v>
      </c>
      <c r="T216" s="376"/>
      <c r="U216" s="61">
        <v>0</v>
      </c>
      <c r="V216" s="342"/>
      <c r="W216" s="61">
        <v>0</v>
      </c>
      <c r="X216" s="342"/>
      <c r="Y216" s="211" t="e">
        <f t="shared" si="444"/>
        <v>#N/A</v>
      </c>
      <c r="Z216" s="370"/>
      <c r="AA216" s="61">
        <v>0</v>
      </c>
      <c r="AB216" s="351"/>
      <c r="AC216" s="61">
        <v>0</v>
      </c>
      <c r="AD216" s="351"/>
      <c r="AE216" s="73" t="e">
        <f t="shared" si="472"/>
        <v>#N/A</v>
      </c>
      <c r="AF216" s="356"/>
      <c r="AG216" s="73" t="e">
        <f t="shared" si="473"/>
        <v>#N/A</v>
      </c>
      <c r="AH216" s="356"/>
      <c r="AI216" s="221">
        <f t="shared" si="571"/>
        <v>29.26</v>
      </c>
      <c r="AJ216" s="78">
        <f t="shared" ref="AJ216:AP216" si="583">AJ215</f>
        <v>0.26750000000000002</v>
      </c>
      <c r="AK216" s="79">
        <f t="shared" si="583"/>
        <v>9.9166666666666661</v>
      </c>
      <c r="AL216" s="80">
        <f t="shared" si="583"/>
        <v>187</v>
      </c>
      <c r="AM216" s="78">
        <f t="shared" si="583"/>
        <v>9.737942583732058E-2</v>
      </c>
      <c r="AN216" s="80">
        <f t="shared" si="583"/>
        <v>143</v>
      </c>
      <c r="AO216" s="78">
        <f t="shared" si="583"/>
        <v>0.21099999999999999</v>
      </c>
      <c r="AP216" s="88">
        <f t="shared" si="583"/>
        <v>12</v>
      </c>
      <c r="AQ216" s="64">
        <f t="shared" si="545"/>
        <v>21.5</v>
      </c>
      <c r="AR216" s="64">
        <f t="shared" si="546"/>
        <v>11.5</v>
      </c>
      <c r="AS216" s="88">
        <f t="shared" si="547"/>
        <v>1.1830000000000001</v>
      </c>
      <c r="AT216" s="91">
        <f t="shared" si="420"/>
        <v>283</v>
      </c>
      <c r="AU216" s="94"/>
      <c r="AV216" s="95"/>
      <c r="AW216" s="56">
        <f t="shared" si="512"/>
        <v>0</v>
      </c>
      <c r="AX216" s="351"/>
      <c r="AY216" s="100">
        <f t="shared" si="551"/>
        <v>9.9166666666666661</v>
      </c>
      <c r="AZ216" s="360"/>
      <c r="BA216" s="91">
        <f t="shared" si="563"/>
        <v>-2057.3625470000061</v>
      </c>
      <c r="BB216" s="5">
        <f t="shared" si="475"/>
        <v>-9.9166666666666661</v>
      </c>
      <c r="BC216" s="363"/>
      <c r="BD216" s="91" t="e">
        <f t="shared" ca="1" si="513"/>
        <v>#N/A</v>
      </c>
      <c r="BE216" s="91" t="e">
        <f t="shared" ca="1" si="514"/>
        <v>#N/A</v>
      </c>
      <c r="BF216" s="91">
        <f t="shared" si="515"/>
        <v>31.833333333333329</v>
      </c>
      <c r="BG216" s="91" t="e">
        <f t="shared" ca="1" si="516"/>
        <v>#N/A</v>
      </c>
      <c r="BH216" s="91" t="e">
        <f t="shared" ca="1" si="561"/>
        <v>#N/A</v>
      </c>
      <c r="BI216" s="10" t="e">
        <f t="shared" ca="1" si="539"/>
        <v>#N/A</v>
      </c>
      <c r="BJ216" s="104">
        <f>((M216+Q216)*AJ216+AK216)+((U216-W216+W216/('Vergleich Holz Strom'!$B$8-0.6))*AO216+AP216)</f>
        <v>21.916666666666664</v>
      </c>
      <c r="BK216" s="10" t="e">
        <f t="shared" ca="1" si="476"/>
        <v>#N/A</v>
      </c>
      <c r="BL216" s="379"/>
      <c r="BM216" s="104" t="e">
        <f t="shared" ca="1" si="527"/>
        <v>#N/A</v>
      </c>
      <c r="BN216" s="40" t="e">
        <f ca="1">IF(ISNUMBER(BK216),BN215+SUMIF(BK206:BK217,"&lt;&gt;#NV",BK206:BK217)/COUNTIF(BK206:BK217,"&lt;&gt;#NV"),#N/A)</f>
        <v>#N/A</v>
      </c>
      <c r="BO216" s="10" t="e">
        <f t="shared" ref="BO216:BO226" ca="1" si="584">BK216+AT216+AU216</f>
        <v>#N/A</v>
      </c>
      <c r="BP216" s="104" t="e">
        <f t="shared" ca="1" si="477"/>
        <v>#N/A</v>
      </c>
      <c r="BQ216" s="104">
        <f t="shared" ca="1" si="500"/>
        <v>-59368.101730728471</v>
      </c>
      <c r="BR216" s="10">
        <f t="shared" si="517"/>
        <v>9.9166666666666661</v>
      </c>
      <c r="BS216" s="311"/>
      <c r="BT216" s="307"/>
      <c r="BU216" s="295">
        <f t="shared" si="518"/>
        <v>0</v>
      </c>
      <c r="BV216" s="323"/>
      <c r="BW216" s="299">
        <f t="shared" si="519"/>
        <v>0</v>
      </c>
      <c r="BX216" s="295">
        <f t="shared" si="520"/>
        <v>0</v>
      </c>
      <c r="BY216" s="382"/>
      <c r="BZ216" s="299">
        <f t="shared" si="528"/>
        <v>0</v>
      </c>
      <c r="CA216" s="295">
        <f t="shared" si="540"/>
        <v>0</v>
      </c>
      <c r="CB216" s="323"/>
      <c r="CC216" s="314">
        <f t="shared" si="573"/>
        <v>0</v>
      </c>
      <c r="CD216" s="326"/>
      <c r="CE216" s="299">
        <f t="shared" si="521"/>
        <v>0</v>
      </c>
      <c r="CF216" s="284">
        <f t="shared" si="574"/>
        <v>0</v>
      </c>
      <c r="CG216" s="323"/>
      <c r="CH216" s="302">
        <f t="shared" si="558"/>
        <v>0</v>
      </c>
      <c r="CI216" s="108">
        <f t="shared" si="522"/>
        <v>0</v>
      </c>
      <c r="CJ216" s="200">
        <f t="shared" si="523"/>
        <v>0</v>
      </c>
      <c r="CK216" s="197">
        <f t="shared" si="549"/>
        <v>0</v>
      </c>
      <c r="CL216" s="203">
        <f t="shared" si="524"/>
        <v>12</v>
      </c>
      <c r="CM216" s="4">
        <f>U216*Jahresdaten!$AD$2</f>
        <v>0</v>
      </c>
      <c r="CN216" s="112">
        <f>CJ216*Jahresdaten!$AD$2</f>
        <v>0</v>
      </c>
      <c r="CO216" s="366"/>
      <c r="CP216" s="116">
        <f>U216*Jahresdaten!$AD$3</f>
        <v>0</v>
      </c>
      <c r="CQ216" s="12">
        <f>CJ216*Jahresdaten!$AD$3</f>
        <v>0</v>
      </c>
      <c r="CR216" s="353"/>
      <c r="CS216" s="14"/>
      <c r="CT216" s="136"/>
      <c r="CU216" s="140" t="str">
        <f>IF(CT216=0,"",CT216*'Vergleich Holz Strom'!$B$2)</f>
        <v/>
      </c>
      <c r="CV216" s="353"/>
      <c r="CW216" s="366"/>
      <c r="CX216" s="345"/>
      <c r="CY216" s="345"/>
      <c r="CZ216" s="345"/>
      <c r="DA216" s="348"/>
      <c r="DB216" s="94"/>
      <c r="DC216" s="88">
        <f t="shared" si="453"/>
        <v>35965.427999999956</v>
      </c>
      <c r="DD216" s="94"/>
      <c r="DE216" s="88">
        <f t="shared" si="465"/>
        <v>-28138.112547000001</v>
      </c>
      <c r="DF216" s="100" t="e">
        <f ca="1">BE216+(SUM(CS206:CS217)/12)</f>
        <v>#N/A</v>
      </c>
      <c r="DG216" s="351"/>
      <c r="DH216" s="8">
        <f t="shared" si="564"/>
        <v>0</v>
      </c>
      <c r="DI216" s="123">
        <f t="shared" si="478"/>
        <v>19300</v>
      </c>
      <c r="DJ216" s="2">
        <f t="shared" si="565"/>
        <v>0</v>
      </c>
      <c r="DK216" s="127">
        <f>DK217/12*11</f>
        <v>7150</v>
      </c>
      <c r="DL216" s="2">
        <f t="shared" si="566"/>
        <v>650</v>
      </c>
      <c r="DM216" s="130">
        <f t="shared" si="567"/>
        <v>0</v>
      </c>
      <c r="DN216" s="3">
        <f>DN217/12*11</f>
        <v>2750</v>
      </c>
      <c r="DO216" s="130">
        <f t="shared" si="568"/>
        <v>250</v>
      </c>
      <c r="DP216" s="4">
        <f t="shared" si="569"/>
        <v>0</v>
      </c>
      <c r="DQ216" s="116">
        <f t="shared" si="570"/>
        <v>9400</v>
      </c>
      <c r="DR216" s="116">
        <f t="shared" si="575"/>
        <v>150</v>
      </c>
    </row>
    <row r="217" spans="1:122" s="28" customFormat="1" ht="15" customHeight="1" thickBot="1" x14ac:dyDescent="0.2">
      <c r="A217" s="417"/>
      <c r="B217" s="18">
        <v>49919</v>
      </c>
      <c r="C217" s="208">
        <f>'PV-Felder'!$I$10</f>
        <v>2246.7000000000003</v>
      </c>
      <c r="D217" s="352"/>
      <c r="E217" s="63">
        <v>0</v>
      </c>
      <c r="F217" s="352"/>
      <c r="G217" s="57" t="e">
        <f t="shared" ca="1" si="509"/>
        <v>#N/A</v>
      </c>
      <c r="H217" s="352"/>
      <c r="I217" s="63">
        <v>0</v>
      </c>
      <c r="J217" s="352"/>
      <c r="K217" s="63">
        <v>0</v>
      </c>
      <c r="L217" s="352"/>
      <c r="M217" s="67">
        <f t="shared" si="536"/>
        <v>0</v>
      </c>
      <c r="N217" s="374"/>
      <c r="O217" s="290"/>
      <c r="P217" s="290"/>
      <c r="Q217" s="289">
        <f t="shared" si="510"/>
        <v>0</v>
      </c>
      <c r="R217" s="334"/>
      <c r="S217" s="63">
        <v>0</v>
      </c>
      <c r="T217" s="377"/>
      <c r="U217" s="63">
        <v>0</v>
      </c>
      <c r="V217" s="343"/>
      <c r="W217" s="63">
        <v>0</v>
      </c>
      <c r="X217" s="343"/>
      <c r="Y217" s="213" t="e">
        <f t="shared" si="444"/>
        <v>#N/A</v>
      </c>
      <c r="Z217" s="371"/>
      <c r="AA217" s="63">
        <v>0</v>
      </c>
      <c r="AB217" s="352"/>
      <c r="AC217" s="63">
        <v>0</v>
      </c>
      <c r="AD217" s="352"/>
      <c r="AE217" s="75" t="e">
        <f t="shared" si="472"/>
        <v>#N/A</v>
      </c>
      <c r="AF217" s="357"/>
      <c r="AG217" s="75" t="e">
        <f t="shared" si="473"/>
        <v>#N/A</v>
      </c>
      <c r="AH217" s="357"/>
      <c r="AI217" s="223">
        <f>AI216</f>
        <v>29.26</v>
      </c>
      <c r="AJ217" s="83">
        <f t="shared" ref="AJ217:AP217" si="585">AJ216</f>
        <v>0.26750000000000002</v>
      </c>
      <c r="AK217" s="21">
        <f t="shared" si="585"/>
        <v>9.9166666666666661</v>
      </c>
      <c r="AL217" s="84">
        <f t="shared" si="585"/>
        <v>187</v>
      </c>
      <c r="AM217" s="83">
        <f t="shared" si="585"/>
        <v>9.737942583732058E-2</v>
      </c>
      <c r="AN217" s="84">
        <f t="shared" si="585"/>
        <v>143</v>
      </c>
      <c r="AO217" s="83">
        <f t="shared" si="585"/>
        <v>0.21099999999999999</v>
      </c>
      <c r="AP217" s="90">
        <f t="shared" si="585"/>
        <v>12</v>
      </c>
      <c r="AQ217" s="125">
        <f t="shared" si="545"/>
        <v>21.5</v>
      </c>
      <c r="AR217" s="125">
        <f t="shared" si="546"/>
        <v>11.5</v>
      </c>
      <c r="AS217" s="92">
        <f t="shared" si="547"/>
        <v>1.1830000000000001</v>
      </c>
      <c r="AT217" s="92">
        <f t="shared" si="420"/>
        <v>283</v>
      </c>
      <c r="AU217" s="98"/>
      <c r="AV217" s="99"/>
      <c r="AW217" s="57">
        <f t="shared" si="512"/>
        <v>0</v>
      </c>
      <c r="AX217" s="352"/>
      <c r="AY217" s="102">
        <f t="shared" si="551"/>
        <v>9.9166666666666661</v>
      </c>
      <c r="AZ217" s="361"/>
      <c r="BA217" s="92">
        <f t="shared" si="563"/>
        <v>-2067.2792136666726</v>
      </c>
      <c r="BB217" s="22">
        <f t="shared" si="475"/>
        <v>-9.9166666666666661</v>
      </c>
      <c r="BC217" s="364"/>
      <c r="BD217" s="92" t="e">
        <f t="shared" ca="1" si="513"/>
        <v>#N/A</v>
      </c>
      <c r="BE217" s="92" t="e">
        <f t="shared" ca="1" si="514"/>
        <v>#N/A</v>
      </c>
      <c r="BF217" s="92">
        <f t="shared" si="515"/>
        <v>31.833333333333329</v>
      </c>
      <c r="BG217" s="92" t="e">
        <f t="shared" ca="1" si="516"/>
        <v>#N/A</v>
      </c>
      <c r="BH217" s="92" t="e">
        <f t="shared" ca="1" si="561"/>
        <v>#N/A</v>
      </c>
      <c r="BI217" s="24" t="e">
        <f t="shared" ca="1" si="539"/>
        <v>#N/A</v>
      </c>
      <c r="BJ217" s="106">
        <f>((M217+Q217)*AJ217+AK217)+((U217-W217+W217/('Vergleich Holz Strom'!$B$8-0.6))*AO217+AP217)</f>
        <v>21.916666666666664</v>
      </c>
      <c r="BK217" s="24" t="e">
        <f t="shared" ca="1" si="476"/>
        <v>#N/A</v>
      </c>
      <c r="BL217" s="380"/>
      <c r="BM217" s="106" t="e">
        <f t="shared" ca="1" si="527"/>
        <v>#N/A</v>
      </c>
      <c r="BN217" s="226" t="e">
        <f ca="1">IF(ISNUMBER(BK217),BN216+SUMIF(BK206:BK217,"&lt;&gt;#NV",BK206:BK217)/COUNTIF(BK206:BK217,"&lt;&gt;#NV"),#N/A)</f>
        <v>#N/A</v>
      </c>
      <c r="BO217" s="318" t="e">
        <f t="shared" ca="1" si="584"/>
        <v>#N/A</v>
      </c>
      <c r="BP217" s="106" t="e">
        <f t="shared" ca="1" si="477"/>
        <v>#N/A</v>
      </c>
      <c r="BQ217" s="106">
        <f t="shared" ca="1" si="500"/>
        <v>-59351.901359285548</v>
      </c>
      <c r="BR217" s="24">
        <f t="shared" si="517"/>
        <v>9.9166666666666661</v>
      </c>
      <c r="BS217" s="312"/>
      <c r="BT217" s="308"/>
      <c r="BU217" s="296">
        <f t="shared" si="518"/>
        <v>0</v>
      </c>
      <c r="BV217" s="324"/>
      <c r="BW217" s="292">
        <f t="shared" si="519"/>
        <v>0</v>
      </c>
      <c r="BX217" s="295">
        <f t="shared" si="520"/>
        <v>0</v>
      </c>
      <c r="BY217" s="382"/>
      <c r="BZ217" s="299">
        <f t="shared" si="528"/>
        <v>0</v>
      </c>
      <c r="CA217" s="296">
        <f t="shared" si="540"/>
        <v>0</v>
      </c>
      <c r="CB217" s="324"/>
      <c r="CC217" s="315">
        <f t="shared" si="573"/>
        <v>0</v>
      </c>
      <c r="CD217" s="327"/>
      <c r="CE217" s="292">
        <f t="shared" si="521"/>
        <v>0</v>
      </c>
      <c r="CF217" s="296">
        <f t="shared" si="574"/>
        <v>0</v>
      </c>
      <c r="CG217" s="324"/>
      <c r="CH217" s="303">
        <f t="shared" si="558"/>
        <v>0</v>
      </c>
      <c r="CI217" s="110">
        <f t="shared" si="522"/>
        <v>0</v>
      </c>
      <c r="CJ217" s="200">
        <f t="shared" si="523"/>
        <v>0</v>
      </c>
      <c r="CK217" s="25">
        <f t="shared" si="549"/>
        <v>0</v>
      </c>
      <c r="CL217" s="204">
        <f t="shared" si="524"/>
        <v>12</v>
      </c>
      <c r="CM217" s="26">
        <f>U217*Jahresdaten!$AD$2</f>
        <v>0</v>
      </c>
      <c r="CN217" s="114">
        <f>CJ217*Jahresdaten!$AD$2</f>
        <v>0</v>
      </c>
      <c r="CO217" s="346"/>
      <c r="CP217" s="118">
        <f>U217*Jahresdaten!$AD$3</f>
        <v>0</v>
      </c>
      <c r="CQ217" s="25">
        <f>CJ217*Jahresdaten!$AD$3</f>
        <v>0</v>
      </c>
      <c r="CR217" s="354"/>
      <c r="CS217" s="23"/>
      <c r="CT217" s="138"/>
      <c r="CU217" s="141" t="str">
        <f>IF(CT217=0,"",CT217*'Vergleich Holz Strom'!$B$2)</f>
        <v/>
      </c>
      <c r="CV217" s="354"/>
      <c r="CW217" s="346"/>
      <c r="CX217" s="346"/>
      <c r="CY217" s="346"/>
      <c r="CZ217" s="346"/>
      <c r="DA217" s="349"/>
      <c r="DB217" s="98"/>
      <c r="DC217" s="90">
        <f t="shared" si="453"/>
        <v>36142.511333333292</v>
      </c>
      <c r="DD217" s="98"/>
      <c r="DE217" s="90">
        <f t="shared" si="465"/>
        <v>-28281.112547000001</v>
      </c>
      <c r="DF217" s="102" t="e">
        <f ca="1">BE217+(SUM(CS206:CS217)/12)</f>
        <v>#N/A</v>
      </c>
      <c r="DG217" s="352"/>
      <c r="DH217" s="19">
        <f t="shared" si="564"/>
        <v>0</v>
      </c>
      <c r="DI217" s="125">
        <f t="shared" si="478"/>
        <v>20800</v>
      </c>
      <c r="DJ217" s="20">
        <f t="shared" si="565"/>
        <v>0</v>
      </c>
      <c r="DK217" s="129">
        <f>DK205</f>
        <v>7800</v>
      </c>
      <c r="DL217" s="20">
        <f t="shared" si="566"/>
        <v>650</v>
      </c>
      <c r="DM217" s="132">
        <f t="shared" si="567"/>
        <v>0</v>
      </c>
      <c r="DN217" s="27">
        <f>DN205</f>
        <v>3000</v>
      </c>
      <c r="DO217" s="132">
        <f t="shared" si="568"/>
        <v>250</v>
      </c>
      <c r="DP217" s="26">
        <f t="shared" si="569"/>
        <v>0</v>
      </c>
      <c r="DQ217" s="118">
        <f>DQ205</f>
        <v>10000</v>
      </c>
      <c r="DR217" s="118">
        <f>DR205</f>
        <v>600</v>
      </c>
    </row>
    <row r="218" spans="1:122" ht="15" customHeight="1" thickBot="1" x14ac:dyDescent="0.2">
      <c r="A218" s="415" t="s">
        <v>176</v>
      </c>
      <c r="B218" s="16">
        <v>49949</v>
      </c>
      <c r="C218" s="207">
        <f>'PV-Felder'!$I$11</f>
        <v>1416.7</v>
      </c>
      <c r="D218" s="358">
        <f>SUMIF(E218:E229,"&gt;0",C218:C229)</f>
        <v>0</v>
      </c>
      <c r="E218" s="61">
        <v>0</v>
      </c>
      <c r="F218" s="368">
        <f>SUM(E218:E229)</f>
        <v>0</v>
      </c>
      <c r="G218" s="58" t="e">
        <f t="shared" ca="1" si="509"/>
        <v>#N/A</v>
      </c>
      <c r="H218" s="358" t="e">
        <f ca="1">IF(TODAY()&lt;B218,#N/A,F218-D218)</f>
        <v>#N/A</v>
      </c>
      <c r="I218" s="61">
        <v>0</v>
      </c>
      <c r="J218" s="368">
        <f>SUM(I218:I229)</f>
        <v>0</v>
      </c>
      <c r="K218" s="61">
        <v>0</v>
      </c>
      <c r="L218" s="368">
        <f>SUM(K218:K229)</f>
        <v>0</v>
      </c>
      <c r="M218" s="66">
        <f t="shared" si="536"/>
        <v>0</v>
      </c>
      <c r="N218" s="372">
        <f>SUM(M218:M229)</f>
        <v>0</v>
      </c>
      <c r="Q218" s="287">
        <f t="shared" si="510"/>
        <v>0</v>
      </c>
      <c r="R218" s="333">
        <f>SUM(Q218:Q229)</f>
        <v>0</v>
      </c>
      <c r="S218" s="61">
        <v>0</v>
      </c>
      <c r="T218" s="375">
        <f>SUM(S218:S229)</f>
        <v>0</v>
      </c>
      <c r="U218" s="61">
        <v>0</v>
      </c>
      <c r="V218" s="341">
        <f>SUM(U218:U229)</f>
        <v>0</v>
      </c>
      <c r="W218" s="61">
        <v>0</v>
      </c>
      <c r="X218" s="341">
        <f>SUM(W218:W229)</f>
        <v>0</v>
      </c>
      <c r="Y218" s="211" t="e">
        <f t="shared" si="444"/>
        <v>#N/A</v>
      </c>
      <c r="Z218" s="369">
        <f>N218+T218+V218</f>
        <v>0</v>
      </c>
      <c r="AA218" s="62">
        <v>0</v>
      </c>
      <c r="AB218" s="368">
        <f>SUM(AA218:AA229)</f>
        <v>0</v>
      </c>
      <c r="AC218" s="62">
        <v>0</v>
      </c>
      <c r="AD218" s="368">
        <f>SUM(AC218:AC229)</f>
        <v>0</v>
      </c>
      <c r="AE218" s="74" t="e">
        <f t="shared" si="472"/>
        <v>#N/A</v>
      </c>
      <c r="AF218" s="355" t="e">
        <f>IF(SUMIF(AE218:AE229,"&gt;0")&gt;0,SUMIF(AE218:AE229,"&gt;0")/COUNTIF(AE218:AE229,"&gt;0"),#N/A)</f>
        <v>#N/A</v>
      </c>
      <c r="AG218" s="73" t="e">
        <f t="shared" si="473"/>
        <v>#N/A</v>
      </c>
      <c r="AH218" s="355" t="e">
        <f>IF(SUMIF(AG218:AG229,"&gt;0")&gt;0,SUMIF(AG218:AG229,"&gt;0")/COUNTIF(AG218:AG229,"&gt;0"),#N/A)</f>
        <v>#N/A</v>
      </c>
      <c r="AI218" s="222">
        <f>AI217</f>
        <v>29.26</v>
      </c>
      <c r="AJ218" s="78">
        <f t="shared" ref="AJ218:AP218" si="586">AJ217</f>
        <v>0.26750000000000002</v>
      </c>
      <c r="AK218" s="79">
        <f t="shared" si="586"/>
        <v>9.9166666666666661</v>
      </c>
      <c r="AL218" s="80">
        <f t="shared" si="586"/>
        <v>187</v>
      </c>
      <c r="AM218" s="78">
        <f t="shared" si="586"/>
        <v>9.737942583732058E-2</v>
      </c>
      <c r="AN218" s="80">
        <f t="shared" si="586"/>
        <v>143</v>
      </c>
      <c r="AO218" s="78">
        <f t="shared" si="586"/>
        <v>0.21099999999999999</v>
      </c>
      <c r="AP218" s="88">
        <f t="shared" si="586"/>
        <v>12</v>
      </c>
      <c r="AQ218" s="64">
        <f t="shared" si="545"/>
        <v>21.5</v>
      </c>
      <c r="AR218" s="64">
        <f t="shared" si="546"/>
        <v>11.5</v>
      </c>
      <c r="AS218" s="88">
        <f t="shared" si="547"/>
        <v>1.1830000000000001</v>
      </c>
      <c r="AT218" s="91">
        <f t="shared" si="420"/>
        <v>283</v>
      </c>
      <c r="AU218" s="94"/>
      <c r="AV218" s="95"/>
      <c r="AW218" s="56">
        <f t="shared" si="512"/>
        <v>0</v>
      </c>
      <c r="AX218" s="358">
        <f>SUM(AW218:AW229)</f>
        <v>0</v>
      </c>
      <c r="AY218" s="100">
        <f t="shared" si="551"/>
        <v>9.9166666666666661</v>
      </c>
      <c r="AZ218" s="359">
        <f>SUM(AY218:AY229)</f>
        <v>119.00000000000001</v>
      </c>
      <c r="BA218" s="103">
        <f>BA217-AY218</f>
        <v>-2077.1958803333391</v>
      </c>
      <c r="BB218" s="5">
        <f t="shared" si="475"/>
        <v>-9.9166666666666661</v>
      </c>
      <c r="BC218" s="362">
        <f>SUM(AY218:AY229)/12</f>
        <v>9.9166666666666679</v>
      </c>
      <c r="BD218" s="91" t="e">
        <f t="shared" ca="1" si="513"/>
        <v>#N/A</v>
      </c>
      <c r="BE218" s="91" t="e">
        <f t="shared" ca="1" si="514"/>
        <v>#N/A</v>
      </c>
      <c r="BF218" s="91">
        <f t="shared" si="515"/>
        <v>31.833333333333329</v>
      </c>
      <c r="BG218" s="91" t="e">
        <f t="shared" ca="1" si="516"/>
        <v>#N/A</v>
      </c>
      <c r="BH218" s="91" t="e">
        <f t="shared" ca="1" si="561"/>
        <v>#N/A</v>
      </c>
      <c r="BI218" s="10" t="e">
        <f t="shared" ca="1" si="539"/>
        <v>#N/A</v>
      </c>
      <c r="BJ218" s="104">
        <f>((M218+Q218)*AJ218+AK218)+((U218-W218+W218/('Vergleich Holz Strom'!$B$8-0.6))*AO218+AP218)</f>
        <v>21.916666666666664</v>
      </c>
      <c r="BK218" s="10" t="e">
        <f t="shared" ca="1" si="476"/>
        <v>#N/A</v>
      </c>
      <c r="BL218" s="378">
        <f ca="1">SUMIF(BK218:BK229,"&lt;&gt;#NV",BK218:BK229)</f>
        <v>0</v>
      </c>
      <c r="BM218" s="104" t="e">
        <f t="shared" ca="1" si="527"/>
        <v>#N/A</v>
      </c>
      <c r="BN218" s="40" t="e">
        <f ca="1">IF(ISNUMBER(BK218),BN217+SUMIF(BK218:BK229,"&lt;&gt;#NV",BK218:BK229)/COUNTIF(BK218:BK229,"&lt;&gt;#NV"),#N/A)</f>
        <v>#N/A</v>
      </c>
      <c r="BO218" s="10" t="e">
        <f t="shared" ca="1" si="584"/>
        <v>#N/A</v>
      </c>
      <c r="BP218" s="105" t="e">
        <f t="shared" ca="1" si="477"/>
        <v>#N/A</v>
      </c>
      <c r="BQ218" s="104">
        <f t="shared" ca="1" si="500"/>
        <v>-59339.901359285548</v>
      </c>
      <c r="BR218" s="10">
        <f t="shared" si="517"/>
        <v>9.9166666666666661</v>
      </c>
      <c r="BS218" s="311"/>
      <c r="BT218" s="307"/>
      <c r="BU218" s="295">
        <f t="shared" si="518"/>
        <v>0</v>
      </c>
      <c r="BV218" s="322">
        <f>SUM(BU218:BU229)</f>
        <v>0</v>
      </c>
      <c r="BW218" s="300">
        <f t="shared" si="519"/>
        <v>0</v>
      </c>
      <c r="BX218" s="305">
        <f t="shared" si="520"/>
        <v>0</v>
      </c>
      <c r="BY218" s="381">
        <f>SUM(BX218:BX229)</f>
        <v>0</v>
      </c>
      <c r="BZ218" s="300">
        <f t="shared" si="528"/>
        <v>0</v>
      </c>
      <c r="CA218" s="295">
        <f t="shared" si="540"/>
        <v>0</v>
      </c>
      <c r="CB218" s="322">
        <f>SUM(CA218:CA229)</f>
        <v>0</v>
      </c>
      <c r="CC218" s="314">
        <f t="shared" si="573"/>
        <v>0</v>
      </c>
      <c r="CD218" s="325">
        <f>SUM(CC218:CC229)</f>
        <v>0</v>
      </c>
      <c r="CE218" s="299">
        <f t="shared" si="521"/>
        <v>0</v>
      </c>
      <c r="CF218" s="284">
        <f t="shared" si="574"/>
        <v>0</v>
      </c>
      <c r="CG218" s="328">
        <f>SUM(CF218:CF229)</f>
        <v>0</v>
      </c>
      <c r="CH218" s="302">
        <f t="shared" si="558"/>
        <v>0</v>
      </c>
      <c r="CI218" s="108">
        <f t="shared" si="522"/>
        <v>0</v>
      </c>
      <c r="CJ218" s="201">
        <f t="shared" si="523"/>
        <v>0</v>
      </c>
      <c r="CK218" s="197">
        <f t="shared" si="549"/>
        <v>0</v>
      </c>
      <c r="CL218" s="203">
        <f t="shared" si="524"/>
        <v>12</v>
      </c>
      <c r="CM218" s="4">
        <f>U218*Jahresdaten!$AD$2</f>
        <v>0</v>
      </c>
      <c r="CN218" s="112">
        <f>CJ218*Jahresdaten!$AD$2</f>
        <v>0</v>
      </c>
      <c r="CO218" s="365">
        <f>CW218*Jahresdaten!$AD$2</f>
        <v>856.59076092206669</v>
      </c>
      <c r="CP218" s="116">
        <f>U218*Jahresdaten!$AD$3</f>
        <v>0</v>
      </c>
      <c r="CQ218" s="12">
        <f>CJ218*Jahresdaten!$AD$3</f>
        <v>0</v>
      </c>
      <c r="CR218" s="367">
        <f>CW218*Jahresdaten!$AD$3</f>
        <v>312.40923907793319</v>
      </c>
      <c r="CS218" s="14">
        <f>CS206</f>
        <v>1169</v>
      </c>
      <c r="CT218" s="136">
        <f>CT206</f>
        <v>12</v>
      </c>
      <c r="CU218" s="140">
        <f>IF(CT218=0,"",CT218*'Vergleich Holz Strom'!$B$2)</f>
        <v>25800</v>
      </c>
      <c r="CV218" s="120" t="s">
        <v>7</v>
      </c>
      <c r="CW218" s="365">
        <f>CV219+CV225</f>
        <v>1169</v>
      </c>
      <c r="CX218" s="344">
        <f>SUM(CS218:CS229)/SUM(CU218:CU229)*(SUM(CU218:CU229)+(V218*('Vergleich Holz Strom'!$B$8-0.6)/'Vergleich Holz Strom'!$E$6))</f>
        <v>1169</v>
      </c>
      <c r="CY218" s="344">
        <f>SUM(CU218:CU229)*'Vergleich Holz Strom'!$E$6/('Vergleich Holz Strom'!$B$8-0.6)*(SUM(AJ218:AJ229)/12)+CV219</f>
        <v>1420.8970588235295</v>
      </c>
      <c r="CZ218" s="344">
        <f>SUM(CU218:CU229)*'Vergleich Holz Strom'!$E$6/('Vergleich Holz Strom'!$B$8-0.6)*SUM(AM218:AM229)/12+SUM(CK218:CK229)</f>
        <v>517.25659724176774</v>
      </c>
      <c r="DA218" s="347">
        <f>SUM(CU218:CU229)*'Vergleich Holz Strom'!$E$6/('Vergleich Holz Strom'!$B$8-0.6)*(SUM(AO218:AO229)/12)+SUM(CL218:CL229)</f>
        <v>1264.7823529411764</v>
      </c>
      <c r="DB218" s="94"/>
      <c r="DC218" s="88">
        <f t="shared" si="453"/>
        <v>36319.594666666628</v>
      </c>
      <c r="DD218" s="94"/>
      <c r="DE218" s="88">
        <f t="shared" si="465"/>
        <v>-28424.112547000001</v>
      </c>
      <c r="DF218" s="100" t="e">
        <f ca="1">BE218+(SUM(CS218:CS229)/12)</f>
        <v>#N/A</v>
      </c>
      <c r="DG218" s="350">
        <f ca="1">SUMIF(DF218:DF229,"&gt;0")</f>
        <v>0</v>
      </c>
      <c r="DH218" s="8">
        <f>M218+S218+U218</f>
        <v>0</v>
      </c>
      <c r="DI218" s="123">
        <f t="shared" si="478"/>
        <v>1850</v>
      </c>
      <c r="DJ218" s="2">
        <f>M218</f>
        <v>0</v>
      </c>
      <c r="DK218" s="127">
        <f>DK229/12*1</f>
        <v>650</v>
      </c>
      <c r="DL218" s="2">
        <f>DL217</f>
        <v>650</v>
      </c>
      <c r="DM218" s="130">
        <f>S218</f>
        <v>0</v>
      </c>
      <c r="DN218" s="3">
        <f>DN229/12*1</f>
        <v>250</v>
      </c>
      <c r="DO218" s="130">
        <f>DO217</f>
        <v>250</v>
      </c>
      <c r="DP218" s="4">
        <f>U218</f>
        <v>0</v>
      </c>
      <c r="DQ218" s="116">
        <f>DR218</f>
        <v>950</v>
      </c>
      <c r="DR218" s="116">
        <f>DR206</f>
        <v>950</v>
      </c>
    </row>
    <row r="219" spans="1:122" ht="14.25" customHeight="1" thickBot="1" x14ac:dyDescent="0.2">
      <c r="A219" s="416"/>
      <c r="B219" s="16">
        <v>49980</v>
      </c>
      <c r="C219" s="207">
        <f>'PV-Felder'!$I$12</f>
        <v>739.6</v>
      </c>
      <c r="D219" s="351"/>
      <c r="E219" s="61">
        <v>0</v>
      </c>
      <c r="F219" s="351"/>
      <c r="G219" s="56" t="e">
        <f t="shared" ca="1" si="509"/>
        <v>#N/A</v>
      </c>
      <c r="H219" s="351"/>
      <c r="I219" s="61">
        <v>0</v>
      </c>
      <c r="J219" s="351"/>
      <c r="K219" s="61">
        <v>0</v>
      </c>
      <c r="L219" s="351"/>
      <c r="M219" s="65">
        <f t="shared" si="536"/>
        <v>0</v>
      </c>
      <c r="N219" s="373"/>
      <c r="O219" s="288"/>
      <c r="P219" s="288"/>
      <c r="Q219" s="286">
        <f t="shared" si="510"/>
        <v>0</v>
      </c>
      <c r="R219" s="334"/>
      <c r="S219" s="61">
        <v>0</v>
      </c>
      <c r="T219" s="376"/>
      <c r="U219" s="61">
        <v>0</v>
      </c>
      <c r="V219" s="342"/>
      <c r="W219" s="61">
        <v>0</v>
      </c>
      <c r="X219" s="342"/>
      <c r="Y219" s="211" t="e">
        <f t="shared" si="444"/>
        <v>#N/A</v>
      </c>
      <c r="Z219" s="370"/>
      <c r="AA219" s="61">
        <v>0</v>
      </c>
      <c r="AB219" s="351"/>
      <c r="AC219" s="61">
        <v>0</v>
      </c>
      <c r="AD219" s="351"/>
      <c r="AE219" s="73" t="e">
        <f t="shared" si="472"/>
        <v>#N/A</v>
      </c>
      <c r="AF219" s="356"/>
      <c r="AG219" s="73" t="e">
        <f t="shared" si="473"/>
        <v>#N/A</v>
      </c>
      <c r="AH219" s="356"/>
      <c r="AI219" s="221">
        <f>AI218</f>
        <v>29.26</v>
      </c>
      <c r="AJ219" s="78">
        <f t="shared" ref="AJ219:AN219" si="587">AJ218</f>
        <v>0.26750000000000002</v>
      </c>
      <c r="AK219" s="79">
        <f t="shared" si="587"/>
        <v>9.9166666666666661</v>
      </c>
      <c r="AL219" s="80">
        <f t="shared" si="587"/>
        <v>187</v>
      </c>
      <c r="AM219" s="78">
        <f t="shared" si="587"/>
        <v>9.737942583732058E-2</v>
      </c>
      <c r="AN219" s="80">
        <f t="shared" si="587"/>
        <v>143</v>
      </c>
      <c r="AO219" s="78">
        <f>AO218</f>
        <v>0.21099999999999999</v>
      </c>
      <c r="AP219" s="88">
        <f>AP218</f>
        <v>12</v>
      </c>
      <c r="AQ219" s="64">
        <f t="shared" si="545"/>
        <v>21.5</v>
      </c>
      <c r="AR219" s="64">
        <f t="shared" si="546"/>
        <v>11.5</v>
      </c>
      <c r="AS219" s="88">
        <f t="shared" si="547"/>
        <v>1.1830000000000001</v>
      </c>
      <c r="AT219" s="91">
        <f t="shared" ref="AT219:AT226" si="588">AT218</f>
        <v>283</v>
      </c>
      <c r="AU219" s="94"/>
      <c r="AV219" s="95"/>
      <c r="AW219" s="56">
        <f t="shared" si="512"/>
        <v>0</v>
      </c>
      <c r="AX219" s="351"/>
      <c r="AY219" s="100">
        <f t="shared" si="551"/>
        <v>9.9166666666666661</v>
      </c>
      <c r="AZ219" s="360"/>
      <c r="BA219" s="91">
        <f t="shared" ref="BA219:BA229" si="589">BA218-AY219</f>
        <v>-2087.1125470000056</v>
      </c>
      <c r="BB219" s="5">
        <f t="shared" si="475"/>
        <v>-9.9166666666666661</v>
      </c>
      <c r="BC219" s="363"/>
      <c r="BD219" s="91" t="e">
        <f t="shared" ca="1" si="513"/>
        <v>#N/A</v>
      </c>
      <c r="BE219" s="91" t="e">
        <f t="shared" ca="1" si="514"/>
        <v>#N/A</v>
      </c>
      <c r="BF219" s="91">
        <f t="shared" si="515"/>
        <v>31.833333333333329</v>
      </c>
      <c r="BG219" s="91" t="e">
        <f t="shared" ca="1" si="516"/>
        <v>#N/A</v>
      </c>
      <c r="BH219" s="91" t="e">
        <f t="shared" ca="1" si="561"/>
        <v>#N/A</v>
      </c>
      <c r="BI219" s="10" t="e">
        <f t="shared" ca="1" si="539"/>
        <v>#N/A</v>
      </c>
      <c r="BJ219" s="104">
        <f>((M219+Q219)*AJ219+AK219)+((U219-W219+W219/('Vergleich Holz Strom'!$B$8-0.6))*AO219+AP219)</f>
        <v>21.916666666666664</v>
      </c>
      <c r="BK219" s="10" t="e">
        <f t="shared" ca="1" si="476"/>
        <v>#N/A</v>
      </c>
      <c r="BL219" s="379"/>
      <c r="BM219" s="104" t="e">
        <f t="shared" ca="1" si="527"/>
        <v>#N/A</v>
      </c>
      <c r="BN219" s="40" t="e">
        <f ca="1">IF(ISNUMBER(BK219),BN218+SUMIF(BK218:BK229,"&lt;&gt;#NV",BK218:BK229)/COUNTIF(BK218:BK229,"&lt;&gt;#NV"),#N/A)</f>
        <v>#N/A</v>
      </c>
      <c r="BO219" s="10" t="e">
        <f t="shared" ca="1" si="584"/>
        <v>#N/A</v>
      </c>
      <c r="BP219" s="104" t="e">
        <f t="shared" ca="1" si="477"/>
        <v>#N/A</v>
      </c>
      <c r="BQ219" s="104">
        <f t="shared" ca="1" si="500"/>
        <v>-59327.901359285548</v>
      </c>
      <c r="BR219" s="10">
        <f t="shared" si="517"/>
        <v>9.9166666666666661</v>
      </c>
      <c r="BS219" s="311"/>
      <c r="BT219" s="307"/>
      <c r="BU219" s="295">
        <f t="shared" si="518"/>
        <v>0</v>
      </c>
      <c r="BV219" s="323"/>
      <c r="BW219" s="299">
        <f t="shared" si="519"/>
        <v>0</v>
      </c>
      <c r="BX219" s="295">
        <f t="shared" si="520"/>
        <v>0</v>
      </c>
      <c r="BY219" s="382"/>
      <c r="BZ219" s="299">
        <f t="shared" si="528"/>
        <v>0</v>
      </c>
      <c r="CA219" s="295">
        <f t="shared" si="540"/>
        <v>0</v>
      </c>
      <c r="CB219" s="323"/>
      <c r="CC219" s="314">
        <f>Q219/AQ219*100+BS219/AQ219*100</f>
        <v>0</v>
      </c>
      <c r="CD219" s="326"/>
      <c r="CE219" s="299">
        <f t="shared" si="521"/>
        <v>0</v>
      </c>
      <c r="CF219" s="284">
        <f>CE219-CA219</f>
        <v>0</v>
      </c>
      <c r="CG219" s="323"/>
      <c r="CH219" s="302">
        <f t="shared" si="558"/>
        <v>0</v>
      </c>
      <c r="CI219" s="108">
        <f t="shared" si="522"/>
        <v>0</v>
      </c>
      <c r="CJ219" s="200">
        <f t="shared" si="523"/>
        <v>0</v>
      </c>
      <c r="CK219" s="197">
        <f t="shared" si="549"/>
        <v>0</v>
      </c>
      <c r="CL219" s="203">
        <f t="shared" si="524"/>
        <v>12</v>
      </c>
      <c r="CM219" s="4">
        <f>U219*Jahresdaten!$AD$2</f>
        <v>0</v>
      </c>
      <c r="CN219" s="112">
        <f>CJ219*Jahresdaten!$AD$2</f>
        <v>0</v>
      </c>
      <c r="CO219" s="366"/>
      <c r="CP219" s="116">
        <f>U219*Jahresdaten!$AD$3</f>
        <v>0</v>
      </c>
      <c r="CQ219" s="12">
        <f>CJ219*Jahresdaten!$AD$3</f>
        <v>0</v>
      </c>
      <c r="CR219" s="353"/>
      <c r="CS219" s="14"/>
      <c r="CT219" s="136"/>
      <c r="CU219" s="140" t="str">
        <f>IF(CT219=0,"",CT219*'Vergleich Holz Strom'!$B$2)</f>
        <v/>
      </c>
      <c r="CV219" s="353">
        <f>SUM(CJ218:CJ229)</f>
        <v>0</v>
      </c>
      <c r="CW219" s="366"/>
      <c r="CX219" s="345"/>
      <c r="CY219" s="345"/>
      <c r="CZ219" s="345"/>
      <c r="DA219" s="348"/>
      <c r="DB219" s="94"/>
      <c r="DC219" s="88">
        <f t="shared" si="453"/>
        <v>36496.677999999964</v>
      </c>
      <c r="DD219" s="94"/>
      <c r="DE219" s="88">
        <f t="shared" si="465"/>
        <v>-28567.112547000001</v>
      </c>
      <c r="DF219" s="100" t="e">
        <f ca="1">BE219+(SUM(CS218:CS229)/12)</f>
        <v>#N/A</v>
      </c>
      <c r="DG219" s="351"/>
      <c r="DH219" s="8">
        <f t="shared" ref="DH219:DH229" si="590">DH218+M219+S219+U219</f>
        <v>0</v>
      </c>
      <c r="DI219" s="123">
        <f t="shared" si="478"/>
        <v>3550</v>
      </c>
      <c r="DJ219" s="2">
        <f t="shared" ref="DJ219:DJ229" si="591">DJ218+M219</f>
        <v>0</v>
      </c>
      <c r="DK219" s="127">
        <f>DK229/12*2</f>
        <v>1300</v>
      </c>
      <c r="DL219" s="2">
        <f t="shared" ref="DL219:DL229" si="592">DL218</f>
        <v>650</v>
      </c>
      <c r="DM219" s="130">
        <f t="shared" ref="DM219:DM229" si="593">DM218+S219</f>
        <v>0</v>
      </c>
      <c r="DN219" s="3">
        <f>DN229/12*2</f>
        <v>500</v>
      </c>
      <c r="DO219" s="130">
        <f t="shared" ref="DO219:DO229" si="594">DO218</f>
        <v>250</v>
      </c>
      <c r="DP219" s="4">
        <f t="shared" ref="DP219:DP229" si="595">DP218+U219</f>
        <v>0</v>
      </c>
      <c r="DQ219" s="116">
        <f t="shared" ref="DQ219:DQ228" si="596">DQ218+DR219</f>
        <v>1750</v>
      </c>
      <c r="DR219" s="116">
        <f>DR207</f>
        <v>800</v>
      </c>
    </row>
    <row r="220" spans="1:122" ht="14.25" customHeight="1" thickBot="1" x14ac:dyDescent="0.2">
      <c r="A220" s="416"/>
      <c r="B220" s="16">
        <v>50010</v>
      </c>
      <c r="C220" s="207">
        <f>'PV-Felder'!$I$13</f>
        <v>559.9</v>
      </c>
      <c r="D220" s="351"/>
      <c r="E220" s="61">
        <v>0</v>
      </c>
      <c r="F220" s="351"/>
      <c r="G220" s="56" t="e">
        <f t="shared" ca="1" si="509"/>
        <v>#N/A</v>
      </c>
      <c r="H220" s="351"/>
      <c r="I220" s="61">
        <v>0</v>
      </c>
      <c r="J220" s="351"/>
      <c r="K220" s="61">
        <v>0</v>
      </c>
      <c r="L220" s="351"/>
      <c r="M220" s="65">
        <f t="shared" si="536"/>
        <v>0</v>
      </c>
      <c r="N220" s="373"/>
      <c r="O220" s="288"/>
      <c r="P220" s="288"/>
      <c r="Q220" s="286">
        <f t="shared" si="510"/>
        <v>0</v>
      </c>
      <c r="R220" s="334"/>
      <c r="S220" s="61">
        <v>0</v>
      </c>
      <c r="T220" s="376"/>
      <c r="U220" s="61">
        <v>0</v>
      </c>
      <c r="V220" s="342"/>
      <c r="W220" s="61">
        <v>0</v>
      </c>
      <c r="X220" s="342"/>
      <c r="Y220" s="211" t="e">
        <f t="shared" si="444"/>
        <v>#N/A</v>
      </c>
      <c r="Z220" s="370"/>
      <c r="AA220" s="61">
        <v>0</v>
      </c>
      <c r="AB220" s="351"/>
      <c r="AC220" s="61">
        <v>0</v>
      </c>
      <c r="AD220" s="351"/>
      <c r="AE220" s="73" t="e">
        <f t="shared" si="472"/>
        <v>#N/A</v>
      </c>
      <c r="AF220" s="356"/>
      <c r="AG220" s="73" t="e">
        <f t="shared" si="473"/>
        <v>#N/A</v>
      </c>
      <c r="AH220" s="356"/>
      <c r="AI220" s="221">
        <f t="shared" ref="AI220:AI228" si="597">AI219</f>
        <v>29.26</v>
      </c>
      <c r="AJ220" s="78">
        <f t="shared" ref="AJ220:AN220" si="598">AJ219</f>
        <v>0.26750000000000002</v>
      </c>
      <c r="AK220" s="79">
        <f t="shared" si="598"/>
        <v>9.9166666666666661</v>
      </c>
      <c r="AL220" s="80">
        <f t="shared" si="598"/>
        <v>187</v>
      </c>
      <c r="AM220" s="78">
        <f t="shared" si="598"/>
        <v>9.737942583732058E-2</v>
      </c>
      <c r="AN220" s="80">
        <f t="shared" si="598"/>
        <v>143</v>
      </c>
      <c r="AO220" s="78">
        <f>AO219</f>
        <v>0.21099999999999999</v>
      </c>
      <c r="AP220" s="88">
        <f>AP219</f>
        <v>12</v>
      </c>
      <c r="AQ220" s="64">
        <f t="shared" si="545"/>
        <v>21.5</v>
      </c>
      <c r="AR220" s="64">
        <f t="shared" si="546"/>
        <v>11.5</v>
      </c>
      <c r="AS220" s="88">
        <f t="shared" si="547"/>
        <v>1.1830000000000001</v>
      </c>
      <c r="AT220" s="91">
        <f t="shared" si="588"/>
        <v>283</v>
      </c>
      <c r="AU220" s="94"/>
      <c r="AV220" s="95"/>
      <c r="AW220" s="56">
        <f t="shared" si="512"/>
        <v>0</v>
      </c>
      <c r="AX220" s="351"/>
      <c r="AY220" s="100">
        <f t="shared" si="551"/>
        <v>9.9166666666666661</v>
      </c>
      <c r="AZ220" s="360"/>
      <c r="BA220" s="91">
        <f t="shared" si="589"/>
        <v>-2097.0292136666721</v>
      </c>
      <c r="BB220" s="5">
        <f t="shared" si="475"/>
        <v>-9.9166666666666661</v>
      </c>
      <c r="BC220" s="363"/>
      <c r="BD220" s="91" t="e">
        <f t="shared" ca="1" si="513"/>
        <v>#N/A</v>
      </c>
      <c r="BE220" s="91" t="e">
        <f t="shared" ca="1" si="514"/>
        <v>#N/A</v>
      </c>
      <c r="BF220" s="91">
        <f t="shared" si="515"/>
        <v>31.833333333333329</v>
      </c>
      <c r="BG220" s="91" t="e">
        <f t="shared" ca="1" si="516"/>
        <v>#N/A</v>
      </c>
      <c r="BH220" s="91" t="e">
        <f t="shared" ca="1" si="561"/>
        <v>#N/A</v>
      </c>
      <c r="BI220" s="10" t="e">
        <f t="shared" ca="1" si="539"/>
        <v>#N/A</v>
      </c>
      <c r="BJ220" s="104">
        <f>((M220+Q220)*AJ220+AK220)+((U220-W220+W220/('Vergleich Holz Strom'!$B$8-0.6))*AO220+AP220)</f>
        <v>21.916666666666664</v>
      </c>
      <c r="BK220" s="10" t="e">
        <f t="shared" ca="1" si="476"/>
        <v>#N/A</v>
      </c>
      <c r="BL220" s="379"/>
      <c r="BM220" s="104" t="e">
        <f t="shared" ca="1" si="527"/>
        <v>#N/A</v>
      </c>
      <c r="BN220" s="40" t="e">
        <f ca="1">IF(ISNUMBER(BK220),BN219+SUMIF(BK218:BK229,"&lt;&gt;#NV",BK218:BK229)/COUNTIF(BK218:BK229,"&lt;&gt;#NV"),#N/A)</f>
        <v>#N/A</v>
      </c>
      <c r="BO220" s="10" t="e">
        <f t="shared" ca="1" si="584"/>
        <v>#N/A</v>
      </c>
      <c r="BP220" s="104" t="e">
        <f t="shared" ca="1" si="477"/>
        <v>#N/A</v>
      </c>
      <c r="BQ220" s="104">
        <f t="shared" ca="1" si="500"/>
        <v>-59315.901359285548</v>
      </c>
      <c r="BR220" s="10">
        <f t="shared" si="517"/>
        <v>9.9166666666666661</v>
      </c>
      <c r="BS220" s="311"/>
      <c r="BT220" s="307"/>
      <c r="BU220" s="295">
        <f t="shared" si="518"/>
        <v>0</v>
      </c>
      <c r="BV220" s="323"/>
      <c r="BW220" s="299">
        <f t="shared" si="519"/>
        <v>0</v>
      </c>
      <c r="BX220" s="295">
        <f t="shared" si="520"/>
        <v>0</v>
      </c>
      <c r="BY220" s="382"/>
      <c r="BZ220" s="299">
        <f t="shared" si="528"/>
        <v>0</v>
      </c>
      <c r="CA220" s="295">
        <f t="shared" si="540"/>
        <v>0</v>
      </c>
      <c r="CB220" s="323"/>
      <c r="CC220" s="314">
        <f t="shared" ref="CC220:CC230" si="599">Q220/AQ220*100+BS220/AQ220*100</f>
        <v>0</v>
      </c>
      <c r="CD220" s="326"/>
      <c r="CE220" s="299">
        <f t="shared" si="521"/>
        <v>0</v>
      </c>
      <c r="CF220" s="284">
        <f t="shared" ref="CF220:CF230" si="600">CE220-CA220</f>
        <v>0</v>
      </c>
      <c r="CG220" s="323"/>
      <c r="CH220" s="302">
        <f t="shared" si="558"/>
        <v>0</v>
      </c>
      <c r="CI220" s="108">
        <f t="shared" si="522"/>
        <v>0</v>
      </c>
      <c r="CJ220" s="200">
        <f t="shared" si="523"/>
        <v>0</v>
      </c>
      <c r="CK220" s="197">
        <f t="shared" si="549"/>
        <v>0</v>
      </c>
      <c r="CL220" s="203">
        <f t="shared" si="524"/>
        <v>12</v>
      </c>
      <c r="CM220" s="4">
        <f>U220*Jahresdaten!$AD$2</f>
        <v>0</v>
      </c>
      <c r="CN220" s="112">
        <f>CJ220*Jahresdaten!$AD$2</f>
        <v>0</v>
      </c>
      <c r="CO220" s="366"/>
      <c r="CP220" s="116">
        <f>U220*Jahresdaten!$AD$3</f>
        <v>0</v>
      </c>
      <c r="CQ220" s="12">
        <f>CJ220*Jahresdaten!$AD$3</f>
        <v>0</v>
      </c>
      <c r="CR220" s="353"/>
      <c r="CS220" s="14"/>
      <c r="CT220" s="136"/>
      <c r="CU220" s="140" t="str">
        <f>IF(CT220=0,"",CT220*'Vergleich Holz Strom'!$B$2)</f>
        <v/>
      </c>
      <c r="CV220" s="353"/>
      <c r="CW220" s="366"/>
      <c r="CX220" s="345"/>
      <c r="CY220" s="345"/>
      <c r="CZ220" s="345"/>
      <c r="DA220" s="348"/>
      <c r="DB220" s="94"/>
      <c r="DC220" s="88">
        <f t="shared" si="453"/>
        <v>36673.761333333299</v>
      </c>
      <c r="DD220" s="94"/>
      <c r="DE220" s="88">
        <f t="shared" si="465"/>
        <v>-28710.112547000001</v>
      </c>
      <c r="DF220" s="100" t="e">
        <f ca="1">BE220+(SUM(CS218:CS229)/12)</f>
        <v>#N/A</v>
      </c>
      <c r="DG220" s="351"/>
      <c r="DH220" s="8">
        <f t="shared" si="590"/>
        <v>0</v>
      </c>
      <c r="DI220" s="123">
        <f t="shared" si="478"/>
        <v>5300</v>
      </c>
      <c r="DJ220" s="2">
        <f t="shared" si="591"/>
        <v>0</v>
      </c>
      <c r="DK220" s="127">
        <f>DK229/12*3</f>
        <v>1950</v>
      </c>
      <c r="DL220" s="2">
        <f t="shared" si="592"/>
        <v>650</v>
      </c>
      <c r="DM220" s="130">
        <f t="shared" si="593"/>
        <v>0</v>
      </c>
      <c r="DN220" s="3">
        <f>DN229/12*3</f>
        <v>750</v>
      </c>
      <c r="DO220" s="130">
        <f t="shared" si="594"/>
        <v>250</v>
      </c>
      <c r="DP220" s="4">
        <f t="shared" si="595"/>
        <v>0</v>
      </c>
      <c r="DQ220" s="116">
        <f t="shared" si="596"/>
        <v>2600</v>
      </c>
      <c r="DR220" s="116">
        <f t="shared" ref="DR220:DR228" si="601">DR208</f>
        <v>850.00000000000011</v>
      </c>
    </row>
    <row r="221" spans="1:122" ht="14.25" customHeight="1" thickBot="1" x14ac:dyDescent="0.2">
      <c r="A221" s="416"/>
      <c r="B221" s="16">
        <v>50041</v>
      </c>
      <c r="C221" s="207">
        <f>'PV-Felder'!$I$2</f>
        <v>660.80000000000007</v>
      </c>
      <c r="D221" s="351"/>
      <c r="E221" s="61">
        <v>0</v>
      </c>
      <c r="F221" s="351"/>
      <c r="G221" s="56" t="e">
        <f t="shared" ca="1" si="509"/>
        <v>#N/A</v>
      </c>
      <c r="H221" s="351"/>
      <c r="I221" s="61">
        <v>0</v>
      </c>
      <c r="J221" s="351"/>
      <c r="K221" s="61">
        <v>0</v>
      </c>
      <c r="L221" s="351"/>
      <c r="M221" s="65">
        <f t="shared" si="536"/>
        <v>0</v>
      </c>
      <c r="N221" s="373"/>
      <c r="O221" s="288"/>
      <c r="P221" s="288"/>
      <c r="Q221" s="286">
        <f t="shared" si="510"/>
        <v>0</v>
      </c>
      <c r="R221" s="334"/>
      <c r="S221" s="61">
        <v>0</v>
      </c>
      <c r="T221" s="376"/>
      <c r="U221" s="61">
        <v>0</v>
      </c>
      <c r="V221" s="342"/>
      <c r="W221" s="61">
        <v>0</v>
      </c>
      <c r="X221" s="342"/>
      <c r="Y221" s="211" t="e">
        <f t="shared" si="444"/>
        <v>#N/A</v>
      </c>
      <c r="Z221" s="370"/>
      <c r="AA221" s="61">
        <v>0</v>
      </c>
      <c r="AB221" s="351"/>
      <c r="AC221" s="61">
        <v>0</v>
      </c>
      <c r="AD221" s="351"/>
      <c r="AE221" s="73" t="e">
        <f t="shared" si="472"/>
        <v>#N/A</v>
      </c>
      <c r="AF221" s="356"/>
      <c r="AG221" s="73" t="e">
        <f t="shared" si="473"/>
        <v>#N/A</v>
      </c>
      <c r="AH221" s="356"/>
      <c r="AI221" s="221">
        <f t="shared" si="597"/>
        <v>29.26</v>
      </c>
      <c r="AJ221" s="78">
        <f t="shared" ref="AJ221:AP221" si="602">AJ220</f>
        <v>0.26750000000000002</v>
      </c>
      <c r="AK221" s="79">
        <f t="shared" si="602"/>
        <v>9.9166666666666661</v>
      </c>
      <c r="AL221" s="80">
        <f t="shared" si="602"/>
        <v>187</v>
      </c>
      <c r="AM221" s="78">
        <f t="shared" si="602"/>
        <v>9.737942583732058E-2</v>
      </c>
      <c r="AN221" s="80">
        <f t="shared" si="602"/>
        <v>143</v>
      </c>
      <c r="AO221" s="78">
        <f t="shared" si="602"/>
        <v>0.21099999999999999</v>
      </c>
      <c r="AP221" s="88">
        <f t="shared" si="602"/>
        <v>12</v>
      </c>
      <c r="AQ221" s="64">
        <f t="shared" si="545"/>
        <v>21.5</v>
      </c>
      <c r="AR221" s="64">
        <f t="shared" si="546"/>
        <v>11.5</v>
      </c>
      <c r="AS221" s="88">
        <f t="shared" si="547"/>
        <v>1.1830000000000001</v>
      </c>
      <c r="AT221" s="91">
        <f t="shared" si="588"/>
        <v>283</v>
      </c>
      <c r="AU221" s="94"/>
      <c r="AV221" s="95"/>
      <c r="AW221" s="56">
        <f t="shared" si="512"/>
        <v>0</v>
      </c>
      <c r="AX221" s="351"/>
      <c r="AY221" s="100">
        <f t="shared" si="551"/>
        <v>9.9166666666666661</v>
      </c>
      <c r="AZ221" s="360"/>
      <c r="BA221" s="91">
        <f t="shared" si="589"/>
        <v>-2106.9458803333387</v>
      </c>
      <c r="BB221" s="5">
        <f t="shared" si="475"/>
        <v>-9.9166666666666661</v>
      </c>
      <c r="BC221" s="363"/>
      <c r="BD221" s="91" t="e">
        <f t="shared" ca="1" si="513"/>
        <v>#N/A</v>
      </c>
      <c r="BE221" s="91" t="e">
        <f t="shared" ca="1" si="514"/>
        <v>#N/A</v>
      </c>
      <c r="BF221" s="91">
        <f t="shared" si="515"/>
        <v>31.833333333333329</v>
      </c>
      <c r="BG221" s="91" t="e">
        <f t="shared" ca="1" si="516"/>
        <v>#N/A</v>
      </c>
      <c r="BH221" s="91" t="e">
        <f t="shared" ca="1" si="561"/>
        <v>#N/A</v>
      </c>
      <c r="BI221" s="10" t="e">
        <f t="shared" ca="1" si="539"/>
        <v>#N/A</v>
      </c>
      <c r="BJ221" s="104">
        <f>((M221+Q221)*AJ221+AK221)+((U221-W221+W221/('Vergleich Holz Strom'!$B$8-0.6))*AO221+AP221)</f>
        <v>21.916666666666664</v>
      </c>
      <c r="BK221" s="10" t="e">
        <f t="shared" ca="1" si="476"/>
        <v>#N/A</v>
      </c>
      <c r="BL221" s="379"/>
      <c r="BM221" s="104" t="e">
        <f t="shared" ca="1" si="527"/>
        <v>#N/A</v>
      </c>
      <c r="BN221" s="40" t="e">
        <f ca="1">IF(ISNUMBER(BK221),BN220+SUMIF(BK218:BK229,"&lt;&gt;#NV",BK218:BK229)/COUNTIF(BK218:BK229,"&lt;&gt;#NV"),#N/A)</f>
        <v>#N/A</v>
      </c>
      <c r="BO221" s="10" t="e">
        <f t="shared" ca="1" si="584"/>
        <v>#N/A</v>
      </c>
      <c r="BP221" s="104" t="e">
        <f t="shared" ca="1" si="477"/>
        <v>#N/A</v>
      </c>
      <c r="BQ221" s="104">
        <f t="shared" ca="1" si="500"/>
        <v>-59303.901359285548</v>
      </c>
      <c r="BR221" s="10">
        <f t="shared" si="517"/>
        <v>9.9166666666666661</v>
      </c>
      <c r="BS221" s="311"/>
      <c r="BT221" s="307"/>
      <c r="BU221" s="295">
        <f t="shared" si="518"/>
        <v>0</v>
      </c>
      <c r="BV221" s="323"/>
      <c r="BW221" s="299">
        <f t="shared" si="519"/>
        <v>0</v>
      </c>
      <c r="BX221" s="295">
        <f t="shared" si="520"/>
        <v>0</v>
      </c>
      <c r="BY221" s="382"/>
      <c r="BZ221" s="299">
        <f t="shared" si="528"/>
        <v>0</v>
      </c>
      <c r="CA221" s="295">
        <f t="shared" si="540"/>
        <v>0</v>
      </c>
      <c r="CB221" s="323"/>
      <c r="CC221" s="314">
        <f t="shared" si="599"/>
        <v>0</v>
      </c>
      <c r="CD221" s="326"/>
      <c r="CE221" s="299">
        <f t="shared" si="521"/>
        <v>0</v>
      </c>
      <c r="CF221" s="284">
        <f t="shared" si="600"/>
        <v>0</v>
      </c>
      <c r="CG221" s="323"/>
      <c r="CH221" s="302">
        <f t="shared" si="558"/>
        <v>0</v>
      </c>
      <c r="CI221" s="108">
        <f t="shared" si="522"/>
        <v>0</v>
      </c>
      <c r="CJ221" s="200">
        <f t="shared" si="523"/>
        <v>0</v>
      </c>
      <c r="CK221" s="197">
        <f t="shared" si="549"/>
        <v>0</v>
      </c>
      <c r="CL221" s="203">
        <f t="shared" si="524"/>
        <v>12</v>
      </c>
      <c r="CM221" s="4">
        <f>U221*Jahresdaten!$AD$2</f>
        <v>0</v>
      </c>
      <c r="CN221" s="112">
        <f>CJ221*Jahresdaten!$AD$2</f>
        <v>0</v>
      </c>
      <c r="CO221" s="366"/>
      <c r="CP221" s="116">
        <f>U221*Jahresdaten!$AD$3</f>
        <v>0</v>
      </c>
      <c r="CQ221" s="12">
        <f>CJ221*Jahresdaten!$AD$3</f>
        <v>0</v>
      </c>
      <c r="CR221" s="353"/>
      <c r="CS221" s="14"/>
      <c r="CT221" s="136"/>
      <c r="CU221" s="140" t="str">
        <f>IF(CT221=0,"",CT221*'Vergleich Holz Strom'!$B$2)</f>
        <v/>
      </c>
      <c r="CV221" s="353"/>
      <c r="CW221" s="366"/>
      <c r="CX221" s="345"/>
      <c r="CY221" s="345"/>
      <c r="CZ221" s="345"/>
      <c r="DA221" s="348"/>
      <c r="DB221" s="94"/>
      <c r="DC221" s="88">
        <f t="shared" si="453"/>
        <v>36850.844666666635</v>
      </c>
      <c r="DD221" s="94"/>
      <c r="DE221" s="88">
        <f t="shared" si="465"/>
        <v>-28853.112547000001</v>
      </c>
      <c r="DF221" s="100" t="e">
        <f ca="1">BE221+(SUM(CS218:CS229)/12)</f>
        <v>#N/A</v>
      </c>
      <c r="DG221" s="351"/>
      <c r="DH221" s="8">
        <f t="shared" si="590"/>
        <v>0</v>
      </c>
      <c r="DI221" s="123">
        <f t="shared" si="478"/>
        <v>7350</v>
      </c>
      <c r="DJ221" s="2">
        <f t="shared" si="591"/>
        <v>0</v>
      </c>
      <c r="DK221" s="127">
        <f>DK229/12*4</f>
        <v>2600</v>
      </c>
      <c r="DL221" s="2">
        <f t="shared" si="592"/>
        <v>650</v>
      </c>
      <c r="DM221" s="130">
        <f t="shared" si="593"/>
        <v>0</v>
      </c>
      <c r="DN221" s="3">
        <f>DN229/12*4</f>
        <v>1000</v>
      </c>
      <c r="DO221" s="130">
        <f t="shared" si="594"/>
        <v>250</v>
      </c>
      <c r="DP221" s="4">
        <f t="shared" si="595"/>
        <v>0</v>
      </c>
      <c r="DQ221" s="116">
        <f t="shared" si="596"/>
        <v>3750</v>
      </c>
      <c r="DR221" s="116">
        <f t="shared" si="601"/>
        <v>1150</v>
      </c>
    </row>
    <row r="222" spans="1:122" ht="14.25" customHeight="1" thickBot="1" x14ac:dyDescent="0.2">
      <c r="A222" s="416"/>
      <c r="B222" s="16">
        <v>50072</v>
      </c>
      <c r="C222" s="207">
        <f>'PV-Felder'!$I$3</f>
        <v>922.2</v>
      </c>
      <c r="D222" s="351"/>
      <c r="E222" s="61">
        <v>0</v>
      </c>
      <c r="F222" s="351"/>
      <c r="G222" s="56" t="e">
        <f t="shared" ca="1" si="509"/>
        <v>#N/A</v>
      </c>
      <c r="H222" s="351"/>
      <c r="I222" s="61">
        <v>0</v>
      </c>
      <c r="J222" s="351"/>
      <c r="K222" s="61">
        <v>0</v>
      </c>
      <c r="L222" s="351"/>
      <c r="M222" s="65">
        <f t="shared" si="536"/>
        <v>0</v>
      </c>
      <c r="N222" s="373"/>
      <c r="O222" s="288"/>
      <c r="P222" s="288"/>
      <c r="Q222" s="286">
        <f t="shared" si="510"/>
        <v>0</v>
      </c>
      <c r="R222" s="334"/>
      <c r="S222" s="61">
        <v>0</v>
      </c>
      <c r="T222" s="376"/>
      <c r="U222" s="61">
        <v>0</v>
      </c>
      <c r="V222" s="342"/>
      <c r="W222" s="61">
        <v>0</v>
      </c>
      <c r="X222" s="342"/>
      <c r="Y222" s="211" t="e">
        <f t="shared" si="444"/>
        <v>#N/A</v>
      </c>
      <c r="Z222" s="370"/>
      <c r="AA222" s="61">
        <v>0</v>
      </c>
      <c r="AB222" s="351"/>
      <c r="AC222" s="61">
        <v>0</v>
      </c>
      <c r="AD222" s="351"/>
      <c r="AE222" s="73" t="e">
        <f t="shared" si="472"/>
        <v>#N/A</v>
      </c>
      <c r="AF222" s="356"/>
      <c r="AG222" s="73" t="e">
        <f t="shared" si="473"/>
        <v>#N/A</v>
      </c>
      <c r="AH222" s="356"/>
      <c r="AI222" s="221">
        <f t="shared" si="597"/>
        <v>29.26</v>
      </c>
      <c r="AJ222" s="78">
        <f t="shared" ref="AJ222:AP222" si="603">AJ221</f>
        <v>0.26750000000000002</v>
      </c>
      <c r="AK222" s="79">
        <f t="shared" si="603"/>
        <v>9.9166666666666661</v>
      </c>
      <c r="AL222" s="80">
        <f t="shared" si="603"/>
        <v>187</v>
      </c>
      <c r="AM222" s="78">
        <f t="shared" si="603"/>
        <v>9.737942583732058E-2</v>
      </c>
      <c r="AN222" s="80">
        <f t="shared" si="603"/>
        <v>143</v>
      </c>
      <c r="AO222" s="78">
        <f t="shared" si="603"/>
        <v>0.21099999999999999</v>
      </c>
      <c r="AP222" s="88">
        <f t="shared" si="603"/>
        <v>12</v>
      </c>
      <c r="AQ222" s="64">
        <f t="shared" si="545"/>
        <v>21.5</v>
      </c>
      <c r="AR222" s="64">
        <f t="shared" si="546"/>
        <v>11.5</v>
      </c>
      <c r="AS222" s="88">
        <f t="shared" si="547"/>
        <v>1.1830000000000001</v>
      </c>
      <c r="AT222" s="91">
        <f t="shared" si="588"/>
        <v>283</v>
      </c>
      <c r="AU222" s="94"/>
      <c r="AV222" s="95"/>
      <c r="AW222" s="56">
        <f t="shared" si="512"/>
        <v>0</v>
      </c>
      <c r="AX222" s="351"/>
      <c r="AY222" s="100">
        <f t="shared" si="551"/>
        <v>9.9166666666666661</v>
      </c>
      <c r="AZ222" s="360"/>
      <c r="BA222" s="91">
        <f t="shared" si="589"/>
        <v>-2116.8625470000052</v>
      </c>
      <c r="BB222" s="5">
        <f t="shared" si="475"/>
        <v>-9.9166666666666661</v>
      </c>
      <c r="BC222" s="363"/>
      <c r="BD222" s="91" t="e">
        <f t="shared" ca="1" si="513"/>
        <v>#N/A</v>
      </c>
      <c r="BE222" s="91" t="e">
        <f t="shared" ca="1" si="514"/>
        <v>#N/A</v>
      </c>
      <c r="BF222" s="91">
        <f t="shared" si="515"/>
        <v>31.833333333333329</v>
      </c>
      <c r="BG222" s="91" t="e">
        <f t="shared" ca="1" si="516"/>
        <v>#N/A</v>
      </c>
      <c r="BH222" s="91" t="e">
        <f t="shared" ca="1" si="561"/>
        <v>#N/A</v>
      </c>
      <c r="BI222" s="10" t="e">
        <f t="shared" ca="1" si="539"/>
        <v>#N/A</v>
      </c>
      <c r="BJ222" s="104">
        <f>((M222+Q222)*AJ222+AK222)+((U222-W222+W222/('Vergleich Holz Strom'!$B$8-0.6))*AO222+AP222)</f>
        <v>21.916666666666664</v>
      </c>
      <c r="BK222" s="10" t="e">
        <f t="shared" ca="1" si="476"/>
        <v>#N/A</v>
      </c>
      <c r="BL222" s="379"/>
      <c r="BM222" s="104" t="e">
        <f t="shared" ca="1" si="527"/>
        <v>#N/A</v>
      </c>
      <c r="BN222" s="40" t="e">
        <f ca="1">IF(ISNUMBER(BK222),BN221+SUMIF(BK218:BK229,"&lt;&gt;#NV",BK218:BK229)/COUNTIF(BK218:BK229,"&lt;&gt;#NV"),#N/A)</f>
        <v>#N/A</v>
      </c>
      <c r="BO222" s="10" t="e">
        <f t="shared" ca="1" si="584"/>
        <v>#N/A</v>
      </c>
      <c r="BP222" s="104" t="e">
        <f t="shared" ca="1" si="477"/>
        <v>#N/A</v>
      </c>
      <c r="BQ222" s="104">
        <f t="shared" ca="1" si="500"/>
        <v>-59284.701359285551</v>
      </c>
      <c r="BR222" s="10">
        <f t="shared" si="517"/>
        <v>9.9166666666666661</v>
      </c>
      <c r="BS222" s="311"/>
      <c r="BT222" s="307"/>
      <c r="BU222" s="295">
        <f t="shared" si="518"/>
        <v>0</v>
      </c>
      <c r="BV222" s="323"/>
      <c r="BW222" s="299">
        <f t="shared" si="519"/>
        <v>0</v>
      </c>
      <c r="BX222" s="295">
        <f t="shared" si="520"/>
        <v>0</v>
      </c>
      <c r="BY222" s="382"/>
      <c r="BZ222" s="299">
        <f t="shared" si="528"/>
        <v>0</v>
      </c>
      <c r="CA222" s="295">
        <f t="shared" si="540"/>
        <v>0</v>
      </c>
      <c r="CB222" s="323"/>
      <c r="CC222" s="314">
        <f t="shared" si="599"/>
        <v>0</v>
      </c>
      <c r="CD222" s="326"/>
      <c r="CE222" s="299">
        <f t="shared" si="521"/>
        <v>0</v>
      </c>
      <c r="CF222" s="284">
        <f t="shared" si="600"/>
        <v>0</v>
      </c>
      <c r="CG222" s="323"/>
      <c r="CH222" s="302">
        <f t="shared" si="558"/>
        <v>0</v>
      </c>
      <c r="CI222" s="108">
        <f t="shared" si="522"/>
        <v>0</v>
      </c>
      <c r="CJ222" s="200">
        <f t="shared" si="523"/>
        <v>0</v>
      </c>
      <c r="CK222" s="197">
        <f t="shared" si="549"/>
        <v>0</v>
      </c>
      <c r="CL222" s="203">
        <f t="shared" si="524"/>
        <v>12</v>
      </c>
      <c r="CM222" s="4">
        <f>U222*Jahresdaten!$AD$2</f>
        <v>0</v>
      </c>
      <c r="CN222" s="112">
        <f>CJ222*Jahresdaten!$AD$2</f>
        <v>0</v>
      </c>
      <c r="CO222" s="366"/>
      <c r="CP222" s="116">
        <f>U222*Jahresdaten!$AD$3</f>
        <v>0</v>
      </c>
      <c r="CQ222" s="12">
        <f>CJ222*Jahresdaten!$AD$3</f>
        <v>0</v>
      </c>
      <c r="CR222" s="353"/>
      <c r="CS222" s="14"/>
      <c r="CT222" s="136"/>
      <c r="CU222" s="140" t="str">
        <f>IF(CT222=0,"",CT222*'Vergleich Holz Strom'!$B$2)</f>
        <v/>
      </c>
      <c r="CV222" s="353"/>
      <c r="CW222" s="366"/>
      <c r="CX222" s="345"/>
      <c r="CY222" s="345"/>
      <c r="CZ222" s="345"/>
      <c r="DA222" s="348"/>
      <c r="DB222" s="94"/>
      <c r="DC222" s="88">
        <f t="shared" si="453"/>
        <v>37027.927999999971</v>
      </c>
      <c r="DD222" s="94"/>
      <c r="DE222" s="88">
        <f t="shared" si="465"/>
        <v>-28996.112547000001</v>
      </c>
      <c r="DF222" s="100" t="e">
        <f ca="1">BE222+(SUM(CS218:CS229)/12)</f>
        <v>#N/A</v>
      </c>
      <c r="DG222" s="351"/>
      <c r="DH222" s="8">
        <f t="shared" si="590"/>
        <v>0</v>
      </c>
      <c r="DI222" s="123">
        <f t="shared" si="478"/>
        <v>9600</v>
      </c>
      <c r="DJ222" s="2">
        <f t="shared" si="591"/>
        <v>0</v>
      </c>
      <c r="DK222" s="127">
        <f>DK229/12*5</f>
        <v>3250</v>
      </c>
      <c r="DL222" s="2">
        <f t="shared" si="592"/>
        <v>650</v>
      </c>
      <c r="DM222" s="130">
        <f t="shared" si="593"/>
        <v>0</v>
      </c>
      <c r="DN222" s="3">
        <f>DN229/12*5</f>
        <v>1250</v>
      </c>
      <c r="DO222" s="130">
        <f t="shared" si="594"/>
        <v>250</v>
      </c>
      <c r="DP222" s="4">
        <f t="shared" si="595"/>
        <v>0</v>
      </c>
      <c r="DQ222" s="116">
        <f t="shared" si="596"/>
        <v>5100</v>
      </c>
      <c r="DR222" s="116">
        <f t="shared" si="601"/>
        <v>1350</v>
      </c>
    </row>
    <row r="223" spans="1:122" ht="14.25" customHeight="1" thickBot="1" x14ac:dyDescent="0.2">
      <c r="A223" s="416"/>
      <c r="B223" s="16">
        <v>50100</v>
      </c>
      <c r="C223" s="207">
        <f>'PV-Felder'!$I$4</f>
        <v>1860</v>
      </c>
      <c r="D223" s="351"/>
      <c r="E223" s="61">
        <v>0</v>
      </c>
      <c r="F223" s="351"/>
      <c r="G223" s="56" t="e">
        <f t="shared" ca="1" si="509"/>
        <v>#N/A</v>
      </c>
      <c r="H223" s="351"/>
      <c r="I223" s="61">
        <v>0</v>
      </c>
      <c r="J223" s="351"/>
      <c r="K223" s="61">
        <v>0</v>
      </c>
      <c r="L223" s="351"/>
      <c r="M223" s="65">
        <f t="shared" si="536"/>
        <v>0</v>
      </c>
      <c r="N223" s="373"/>
      <c r="O223" s="288"/>
      <c r="P223" s="288"/>
      <c r="Q223" s="286">
        <f t="shared" si="510"/>
        <v>0</v>
      </c>
      <c r="R223" s="334"/>
      <c r="S223" s="61">
        <v>0</v>
      </c>
      <c r="T223" s="376"/>
      <c r="U223" s="61">
        <v>0</v>
      </c>
      <c r="V223" s="342"/>
      <c r="W223" s="61">
        <v>0</v>
      </c>
      <c r="X223" s="342"/>
      <c r="Y223" s="211" t="e">
        <f t="shared" si="444"/>
        <v>#N/A</v>
      </c>
      <c r="Z223" s="370"/>
      <c r="AA223" s="61">
        <v>0</v>
      </c>
      <c r="AB223" s="351"/>
      <c r="AC223" s="61">
        <v>0</v>
      </c>
      <c r="AD223" s="351"/>
      <c r="AE223" s="73" t="e">
        <f t="shared" si="472"/>
        <v>#N/A</v>
      </c>
      <c r="AF223" s="356"/>
      <c r="AG223" s="73" t="e">
        <f t="shared" si="473"/>
        <v>#N/A</v>
      </c>
      <c r="AH223" s="356"/>
      <c r="AI223" s="221">
        <f t="shared" si="597"/>
        <v>29.26</v>
      </c>
      <c r="AJ223" s="78">
        <f t="shared" ref="AJ223:AP223" si="604">AJ222</f>
        <v>0.26750000000000002</v>
      </c>
      <c r="AK223" s="79">
        <f t="shared" si="604"/>
        <v>9.9166666666666661</v>
      </c>
      <c r="AL223" s="80">
        <f t="shared" si="604"/>
        <v>187</v>
      </c>
      <c r="AM223" s="78">
        <f t="shared" si="604"/>
        <v>9.737942583732058E-2</v>
      </c>
      <c r="AN223" s="80">
        <f t="shared" si="604"/>
        <v>143</v>
      </c>
      <c r="AO223" s="78">
        <f t="shared" si="604"/>
        <v>0.21099999999999999</v>
      </c>
      <c r="AP223" s="88">
        <f t="shared" si="604"/>
        <v>12</v>
      </c>
      <c r="AQ223" s="64">
        <f t="shared" si="545"/>
        <v>21.5</v>
      </c>
      <c r="AR223" s="64">
        <f t="shared" si="546"/>
        <v>11.5</v>
      </c>
      <c r="AS223" s="88">
        <f t="shared" si="547"/>
        <v>1.1830000000000001</v>
      </c>
      <c r="AT223" s="91">
        <f>AT222</f>
        <v>283</v>
      </c>
      <c r="AU223" s="94"/>
      <c r="AV223" s="95"/>
      <c r="AW223" s="56">
        <f t="shared" si="512"/>
        <v>0</v>
      </c>
      <c r="AX223" s="351"/>
      <c r="AY223" s="100">
        <f t="shared" si="551"/>
        <v>9.9166666666666661</v>
      </c>
      <c r="AZ223" s="360"/>
      <c r="BA223" s="91">
        <f t="shared" si="589"/>
        <v>-2126.7792136666717</v>
      </c>
      <c r="BB223" s="5">
        <f t="shared" si="475"/>
        <v>-9.9166666666666661</v>
      </c>
      <c r="BC223" s="363"/>
      <c r="BD223" s="91" t="e">
        <f t="shared" ca="1" si="513"/>
        <v>#N/A</v>
      </c>
      <c r="BE223" s="91" t="e">
        <f t="shared" ca="1" si="514"/>
        <v>#N/A</v>
      </c>
      <c r="BF223" s="91">
        <f t="shared" si="515"/>
        <v>31.833333333333329</v>
      </c>
      <c r="BG223" s="91" t="e">
        <f t="shared" ca="1" si="516"/>
        <v>#N/A</v>
      </c>
      <c r="BH223" s="91" t="e">
        <f t="shared" ca="1" si="561"/>
        <v>#N/A</v>
      </c>
      <c r="BI223" s="10" t="e">
        <f t="shared" ca="1" si="539"/>
        <v>#N/A</v>
      </c>
      <c r="BJ223" s="104">
        <f>((M223+Q223)*AJ223+AK223)+((U223-W223+W223/('Vergleich Holz Strom'!$B$8-0.6))*AO223+AP223)</f>
        <v>21.916666666666664</v>
      </c>
      <c r="BK223" s="10" t="e">
        <f t="shared" ca="1" si="476"/>
        <v>#N/A</v>
      </c>
      <c r="BL223" s="379"/>
      <c r="BM223" s="104" t="e">
        <f t="shared" ca="1" si="527"/>
        <v>#N/A</v>
      </c>
      <c r="BN223" s="40" t="e">
        <f ca="1">IF(ISNUMBER(BK223),BN222+SUMIF(BK218:BK229,"&lt;&gt;#NV",BK218:BK229)/COUNTIF(BK218:BK229,"&lt;&gt;#NV"),#N/A)</f>
        <v>#N/A</v>
      </c>
      <c r="BO223" s="10" t="e">
        <f t="shared" ca="1" si="584"/>
        <v>#N/A</v>
      </c>
      <c r="BP223" s="104" t="e">
        <f t="shared" ca="1" si="477"/>
        <v>#N/A</v>
      </c>
      <c r="BQ223" s="104">
        <f t="shared" ca="1" si="500"/>
        <v>-59265.501359285554</v>
      </c>
      <c r="BR223" s="10">
        <f t="shared" si="517"/>
        <v>9.9166666666666661</v>
      </c>
      <c r="BS223" s="311"/>
      <c r="BT223" s="307"/>
      <c r="BU223" s="295">
        <f t="shared" si="518"/>
        <v>0</v>
      </c>
      <c r="BV223" s="323"/>
      <c r="BW223" s="299">
        <f t="shared" si="519"/>
        <v>0</v>
      </c>
      <c r="BX223" s="295">
        <f t="shared" si="520"/>
        <v>0</v>
      </c>
      <c r="BY223" s="382"/>
      <c r="BZ223" s="299">
        <f t="shared" si="528"/>
        <v>0</v>
      </c>
      <c r="CA223" s="295">
        <f t="shared" si="540"/>
        <v>0</v>
      </c>
      <c r="CB223" s="323"/>
      <c r="CC223" s="314">
        <f t="shared" si="599"/>
        <v>0</v>
      </c>
      <c r="CD223" s="326"/>
      <c r="CE223" s="299">
        <f t="shared" si="521"/>
        <v>0</v>
      </c>
      <c r="CF223" s="284">
        <f t="shared" si="600"/>
        <v>0</v>
      </c>
      <c r="CG223" s="323"/>
      <c r="CH223" s="302">
        <f t="shared" si="558"/>
        <v>0</v>
      </c>
      <c r="CI223" s="108">
        <f t="shared" si="522"/>
        <v>0</v>
      </c>
      <c r="CJ223" s="200">
        <f t="shared" si="523"/>
        <v>0</v>
      </c>
      <c r="CK223" s="197">
        <f t="shared" si="549"/>
        <v>0</v>
      </c>
      <c r="CL223" s="203">
        <f t="shared" si="524"/>
        <v>12</v>
      </c>
      <c r="CM223" s="4">
        <f>U223*Jahresdaten!$AD$2</f>
        <v>0</v>
      </c>
      <c r="CN223" s="112">
        <f>CJ223*Jahresdaten!$AD$2</f>
        <v>0</v>
      </c>
      <c r="CO223" s="366"/>
      <c r="CP223" s="116">
        <f>U223*Jahresdaten!$AD$3</f>
        <v>0</v>
      </c>
      <c r="CQ223" s="12">
        <f>CJ223*Jahresdaten!$AD$3</f>
        <v>0</v>
      </c>
      <c r="CR223" s="353"/>
      <c r="CS223" s="14"/>
      <c r="CT223" s="136"/>
      <c r="CU223" s="140" t="str">
        <f>IF(CT223=0,"",CT223*'Vergleich Holz Strom'!$B$2)</f>
        <v/>
      </c>
      <c r="CV223" s="353"/>
      <c r="CW223" s="366"/>
      <c r="CX223" s="345"/>
      <c r="CY223" s="345"/>
      <c r="CZ223" s="345"/>
      <c r="DA223" s="348"/>
      <c r="DB223" s="94"/>
      <c r="DC223" s="88">
        <f t="shared" si="453"/>
        <v>37205.011333333307</v>
      </c>
      <c r="DD223" s="94"/>
      <c r="DE223" s="88">
        <f t="shared" si="465"/>
        <v>-29139.112547000001</v>
      </c>
      <c r="DF223" s="100" t="e">
        <f ca="1">BE223+(SUM(CS218:CS229)/12)</f>
        <v>#N/A</v>
      </c>
      <c r="DG223" s="351"/>
      <c r="DH223" s="8">
        <f t="shared" si="590"/>
        <v>0</v>
      </c>
      <c r="DI223" s="123">
        <f t="shared" si="478"/>
        <v>11850</v>
      </c>
      <c r="DJ223" s="2">
        <f t="shared" si="591"/>
        <v>0</v>
      </c>
      <c r="DK223" s="127">
        <f>DK229/12*6</f>
        <v>3900</v>
      </c>
      <c r="DL223" s="2">
        <f t="shared" si="592"/>
        <v>650</v>
      </c>
      <c r="DM223" s="130">
        <f t="shared" si="593"/>
        <v>0</v>
      </c>
      <c r="DN223" s="3">
        <f>DN229/12*6</f>
        <v>1500</v>
      </c>
      <c r="DO223" s="130">
        <f t="shared" si="594"/>
        <v>250</v>
      </c>
      <c r="DP223" s="4">
        <f t="shared" si="595"/>
        <v>0</v>
      </c>
      <c r="DQ223" s="116">
        <f t="shared" si="596"/>
        <v>6450</v>
      </c>
      <c r="DR223" s="116">
        <f t="shared" si="601"/>
        <v>1350</v>
      </c>
    </row>
    <row r="224" spans="1:122" ht="15" customHeight="1" thickBot="1" x14ac:dyDescent="0.2">
      <c r="A224" s="416"/>
      <c r="B224" s="16">
        <v>50131</v>
      </c>
      <c r="C224" s="207">
        <f>'PV-Felder'!$I$5</f>
        <v>2887.3</v>
      </c>
      <c r="D224" s="351"/>
      <c r="E224" s="61">
        <v>0</v>
      </c>
      <c r="F224" s="351"/>
      <c r="G224" s="56" t="e">
        <f t="shared" ca="1" si="509"/>
        <v>#N/A</v>
      </c>
      <c r="H224" s="351"/>
      <c r="I224" s="61">
        <v>0</v>
      </c>
      <c r="J224" s="351"/>
      <c r="K224" s="61">
        <v>0</v>
      </c>
      <c r="L224" s="351"/>
      <c r="M224" s="65">
        <f t="shared" si="536"/>
        <v>0</v>
      </c>
      <c r="N224" s="373"/>
      <c r="O224" s="288"/>
      <c r="P224" s="288"/>
      <c r="Q224" s="286">
        <f t="shared" si="510"/>
        <v>0</v>
      </c>
      <c r="R224" s="334"/>
      <c r="S224" s="61">
        <v>0</v>
      </c>
      <c r="T224" s="376"/>
      <c r="U224" s="61">
        <v>0</v>
      </c>
      <c r="V224" s="342"/>
      <c r="W224" s="61">
        <v>0</v>
      </c>
      <c r="X224" s="342"/>
      <c r="Y224" s="211" t="e">
        <f t="shared" si="444"/>
        <v>#N/A</v>
      </c>
      <c r="Z224" s="370"/>
      <c r="AA224" s="61">
        <v>0</v>
      </c>
      <c r="AB224" s="351"/>
      <c r="AC224" s="61">
        <v>0</v>
      </c>
      <c r="AD224" s="351"/>
      <c r="AE224" s="73" t="e">
        <f t="shared" si="472"/>
        <v>#N/A</v>
      </c>
      <c r="AF224" s="356"/>
      <c r="AG224" s="73" t="e">
        <f t="shared" si="473"/>
        <v>#N/A</v>
      </c>
      <c r="AH224" s="356"/>
      <c r="AI224" s="221">
        <f t="shared" si="597"/>
        <v>29.26</v>
      </c>
      <c r="AJ224" s="78">
        <f t="shared" ref="AJ224:AP224" si="605">AJ223</f>
        <v>0.26750000000000002</v>
      </c>
      <c r="AK224" s="79">
        <f t="shared" si="605"/>
        <v>9.9166666666666661</v>
      </c>
      <c r="AL224" s="80">
        <f t="shared" si="605"/>
        <v>187</v>
      </c>
      <c r="AM224" s="78">
        <f t="shared" si="605"/>
        <v>9.737942583732058E-2</v>
      </c>
      <c r="AN224" s="80">
        <f t="shared" si="605"/>
        <v>143</v>
      </c>
      <c r="AO224" s="78">
        <f t="shared" si="605"/>
        <v>0.21099999999999999</v>
      </c>
      <c r="AP224" s="88">
        <f t="shared" si="605"/>
        <v>12</v>
      </c>
      <c r="AQ224" s="64">
        <f t="shared" si="545"/>
        <v>21.5</v>
      </c>
      <c r="AR224" s="64">
        <f t="shared" si="546"/>
        <v>11.5</v>
      </c>
      <c r="AS224" s="88">
        <f t="shared" si="547"/>
        <v>1.1830000000000001</v>
      </c>
      <c r="AT224" s="91">
        <f t="shared" si="588"/>
        <v>283</v>
      </c>
      <c r="AU224" s="94"/>
      <c r="AV224" s="95"/>
      <c r="AW224" s="56">
        <f t="shared" si="512"/>
        <v>0</v>
      </c>
      <c r="AX224" s="351"/>
      <c r="AY224" s="100">
        <f t="shared" si="551"/>
        <v>9.9166666666666661</v>
      </c>
      <c r="AZ224" s="360"/>
      <c r="BA224" s="91">
        <f t="shared" si="589"/>
        <v>-2136.6958803333382</v>
      </c>
      <c r="BB224" s="5">
        <f t="shared" si="475"/>
        <v>-9.9166666666666661</v>
      </c>
      <c r="BC224" s="363"/>
      <c r="BD224" s="91" t="e">
        <f t="shared" ca="1" si="513"/>
        <v>#N/A</v>
      </c>
      <c r="BE224" s="91" t="e">
        <f t="shared" ca="1" si="514"/>
        <v>#N/A</v>
      </c>
      <c r="BF224" s="91">
        <f t="shared" si="515"/>
        <v>31.833333333333329</v>
      </c>
      <c r="BG224" s="91" t="e">
        <f t="shared" ca="1" si="516"/>
        <v>#N/A</v>
      </c>
      <c r="BH224" s="91" t="e">
        <f t="shared" ca="1" si="561"/>
        <v>#N/A</v>
      </c>
      <c r="BI224" s="10" t="e">
        <f t="shared" ca="1" si="539"/>
        <v>#N/A</v>
      </c>
      <c r="BJ224" s="104">
        <f>((M224+Q224)*AJ224+AK224)+((U224-W224+W224/('Vergleich Holz Strom'!$B$8-0.6))*AO224+AP224)</f>
        <v>21.916666666666664</v>
      </c>
      <c r="BK224" s="10" t="e">
        <f t="shared" ca="1" si="476"/>
        <v>#N/A</v>
      </c>
      <c r="BL224" s="379"/>
      <c r="BM224" s="104" t="e">
        <f t="shared" ca="1" si="527"/>
        <v>#N/A</v>
      </c>
      <c r="BN224" s="40" t="e">
        <f ca="1">IF(ISNUMBER(BK224),BN223+SUMIF(BK218:BK229,"&lt;&gt;#NV",BK218:BK229)/COUNTIF(BK218:BK229,"&lt;&gt;#NV"),#N/A)</f>
        <v>#N/A</v>
      </c>
      <c r="BO224" s="10" t="e">
        <f t="shared" ca="1" si="584"/>
        <v>#N/A</v>
      </c>
      <c r="BP224" s="104" t="e">
        <f t="shared" ca="1" si="477"/>
        <v>#N/A</v>
      </c>
      <c r="BQ224" s="104">
        <f t="shared" ca="1" si="500"/>
        <v>-59246.301359285528</v>
      </c>
      <c r="BR224" s="10">
        <f t="shared" si="517"/>
        <v>9.9166666666666661</v>
      </c>
      <c r="BS224" s="311"/>
      <c r="BT224" s="307"/>
      <c r="BU224" s="295">
        <f t="shared" si="518"/>
        <v>0</v>
      </c>
      <c r="BV224" s="323"/>
      <c r="BW224" s="299">
        <f t="shared" si="519"/>
        <v>0</v>
      </c>
      <c r="BX224" s="295">
        <f t="shared" si="520"/>
        <v>0</v>
      </c>
      <c r="BY224" s="382"/>
      <c r="BZ224" s="299">
        <f t="shared" si="528"/>
        <v>0</v>
      </c>
      <c r="CA224" s="295">
        <f t="shared" si="540"/>
        <v>0</v>
      </c>
      <c r="CB224" s="323"/>
      <c r="CC224" s="314">
        <f t="shared" si="599"/>
        <v>0</v>
      </c>
      <c r="CD224" s="326"/>
      <c r="CE224" s="299">
        <f t="shared" si="521"/>
        <v>0</v>
      </c>
      <c r="CF224" s="284">
        <f t="shared" si="600"/>
        <v>0</v>
      </c>
      <c r="CG224" s="323"/>
      <c r="CH224" s="302">
        <f t="shared" si="558"/>
        <v>0</v>
      </c>
      <c r="CI224" s="108">
        <f t="shared" si="522"/>
        <v>0</v>
      </c>
      <c r="CJ224" s="200">
        <f t="shared" si="523"/>
        <v>0</v>
      </c>
      <c r="CK224" s="197">
        <f t="shared" si="549"/>
        <v>0</v>
      </c>
      <c r="CL224" s="203">
        <f t="shared" si="524"/>
        <v>12</v>
      </c>
      <c r="CM224" s="4">
        <f>U224*Jahresdaten!$AD$2</f>
        <v>0</v>
      </c>
      <c r="CN224" s="112">
        <f>CJ224*Jahresdaten!$AD$2</f>
        <v>0</v>
      </c>
      <c r="CO224" s="366"/>
      <c r="CP224" s="116">
        <f>U224*Jahresdaten!$AD$3</f>
        <v>0</v>
      </c>
      <c r="CQ224" s="12">
        <f>CJ224*Jahresdaten!$AD$3</f>
        <v>0</v>
      </c>
      <c r="CR224" s="353"/>
      <c r="CS224" s="14"/>
      <c r="CT224" s="136"/>
      <c r="CU224" s="140" t="str">
        <f>IF(CT224=0,"",CT224*'Vergleich Holz Strom'!$B$2)</f>
        <v/>
      </c>
      <c r="CV224" s="121" t="s">
        <v>6</v>
      </c>
      <c r="CW224" s="366"/>
      <c r="CX224" s="345"/>
      <c r="CY224" s="345"/>
      <c r="CZ224" s="345"/>
      <c r="DA224" s="348"/>
      <c r="DB224" s="94"/>
      <c r="DC224" s="88">
        <f t="shared" si="453"/>
        <v>37382.094666666642</v>
      </c>
      <c r="DD224" s="94"/>
      <c r="DE224" s="88">
        <f t="shared" si="465"/>
        <v>-29282.112547000001</v>
      </c>
      <c r="DF224" s="100" t="e">
        <f ca="1">BE224+(SUM(CS218:CS229)/12)</f>
        <v>#N/A</v>
      </c>
      <c r="DG224" s="351"/>
      <c r="DH224" s="8">
        <f t="shared" si="590"/>
        <v>0</v>
      </c>
      <c r="DI224" s="123">
        <f t="shared" si="478"/>
        <v>14000</v>
      </c>
      <c r="DJ224" s="2">
        <f t="shared" si="591"/>
        <v>0</v>
      </c>
      <c r="DK224" s="127">
        <f>DK229/12*7</f>
        <v>4550</v>
      </c>
      <c r="DL224" s="2">
        <f t="shared" si="592"/>
        <v>650</v>
      </c>
      <c r="DM224" s="130">
        <f t="shared" si="593"/>
        <v>0</v>
      </c>
      <c r="DN224" s="3">
        <f>DN229/12*7</f>
        <v>1750</v>
      </c>
      <c r="DO224" s="130">
        <f t="shared" si="594"/>
        <v>250</v>
      </c>
      <c r="DP224" s="4">
        <f t="shared" si="595"/>
        <v>0</v>
      </c>
      <c r="DQ224" s="116">
        <f t="shared" si="596"/>
        <v>7700</v>
      </c>
      <c r="DR224" s="116">
        <f t="shared" si="601"/>
        <v>1250</v>
      </c>
    </row>
    <row r="225" spans="1:122" ht="14.25" customHeight="1" thickBot="1" x14ac:dyDescent="0.2">
      <c r="A225" s="416"/>
      <c r="B225" s="16">
        <v>50161</v>
      </c>
      <c r="C225" s="207">
        <f>'PV-Felder'!$I$6</f>
        <v>3391.3999999999996</v>
      </c>
      <c r="D225" s="351"/>
      <c r="E225" s="61">
        <v>0</v>
      </c>
      <c r="F225" s="351"/>
      <c r="G225" s="56" t="e">
        <f t="shared" ca="1" si="509"/>
        <v>#N/A</v>
      </c>
      <c r="H225" s="351"/>
      <c r="I225" s="61">
        <v>0</v>
      </c>
      <c r="J225" s="351"/>
      <c r="K225" s="61">
        <v>0</v>
      </c>
      <c r="L225" s="351"/>
      <c r="M225" s="65">
        <f t="shared" si="536"/>
        <v>0</v>
      </c>
      <c r="N225" s="373"/>
      <c r="O225" s="288"/>
      <c r="P225" s="288"/>
      <c r="Q225" s="286">
        <f t="shared" si="510"/>
        <v>0</v>
      </c>
      <c r="R225" s="334"/>
      <c r="S225" s="61">
        <v>0</v>
      </c>
      <c r="T225" s="376"/>
      <c r="U225" s="61">
        <v>0</v>
      </c>
      <c r="V225" s="342"/>
      <c r="W225" s="61">
        <v>0</v>
      </c>
      <c r="X225" s="342"/>
      <c r="Y225" s="211" t="e">
        <f t="shared" si="444"/>
        <v>#N/A</v>
      </c>
      <c r="Z225" s="370"/>
      <c r="AA225" s="61">
        <v>0</v>
      </c>
      <c r="AB225" s="351"/>
      <c r="AC225" s="61">
        <v>0</v>
      </c>
      <c r="AD225" s="351"/>
      <c r="AE225" s="73" t="e">
        <f t="shared" si="472"/>
        <v>#N/A</v>
      </c>
      <c r="AF225" s="356"/>
      <c r="AG225" s="73" t="e">
        <f t="shared" si="473"/>
        <v>#N/A</v>
      </c>
      <c r="AH225" s="356"/>
      <c r="AI225" s="221">
        <f t="shared" si="597"/>
        <v>29.26</v>
      </c>
      <c r="AJ225" s="78">
        <f t="shared" ref="AJ225:AP225" si="606">AJ224</f>
        <v>0.26750000000000002</v>
      </c>
      <c r="AK225" s="79">
        <f t="shared" si="606"/>
        <v>9.9166666666666661</v>
      </c>
      <c r="AL225" s="80">
        <f t="shared" si="606"/>
        <v>187</v>
      </c>
      <c r="AM225" s="78">
        <f t="shared" si="606"/>
        <v>9.737942583732058E-2</v>
      </c>
      <c r="AN225" s="80">
        <f t="shared" si="606"/>
        <v>143</v>
      </c>
      <c r="AO225" s="78">
        <f t="shared" si="606"/>
        <v>0.21099999999999999</v>
      </c>
      <c r="AP225" s="88">
        <f t="shared" si="606"/>
        <v>12</v>
      </c>
      <c r="AQ225" s="64">
        <f t="shared" si="545"/>
        <v>21.5</v>
      </c>
      <c r="AR225" s="64">
        <f t="shared" si="546"/>
        <v>11.5</v>
      </c>
      <c r="AS225" s="88">
        <f t="shared" si="547"/>
        <v>1.1830000000000001</v>
      </c>
      <c r="AT225" s="91">
        <f t="shared" si="588"/>
        <v>283</v>
      </c>
      <c r="AU225" s="94"/>
      <c r="AV225" s="95"/>
      <c r="AW225" s="56">
        <f t="shared" si="512"/>
        <v>0</v>
      </c>
      <c r="AX225" s="351"/>
      <c r="AY225" s="100">
        <f t="shared" si="551"/>
        <v>9.9166666666666661</v>
      </c>
      <c r="AZ225" s="360"/>
      <c r="BA225" s="91">
        <f t="shared" si="589"/>
        <v>-2146.6125470000047</v>
      </c>
      <c r="BB225" s="5">
        <f t="shared" si="475"/>
        <v>-9.9166666666666661</v>
      </c>
      <c r="BC225" s="363"/>
      <c r="BD225" s="91" t="e">
        <f t="shared" ca="1" si="513"/>
        <v>#N/A</v>
      </c>
      <c r="BE225" s="91" t="e">
        <f t="shared" ca="1" si="514"/>
        <v>#N/A</v>
      </c>
      <c r="BF225" s="91">
        <f t="shared" si="515"/>
        <v>31.833333333333329</v>
      </c>
      <c r="BG225" s="91" t="e">
        <f t="shared" ca="1" si="516"/>
        <v>#N/A</v>
      </c>
      <c r="BH225" s="91" t="e">
        <f t="shared" ca="1" si="561"/>
        <v>#N/A</v>
      </c>
      <c r="BI225" s="10" t="e">
        <f t="shared" ca="1" si="539"/>
        <v>#N/A</v>
      </c>
      <c r="BJ225" s="104">
        <f>((M225+Q225)*AJ225+AK225)+((U225-W225+W225/('Vergleich Holz Strom'!$B$8-0.6))*AO225+AP225)</f>
        <v>21.916666666666664</v>
      </c>
      <c r="BK225" s="10" t="e">
        <f t="shared" ca="1" si="476"/>
        <v>#N/A</v>
      </c>
      <c r="BL225" s="379"/>
      <c r="BM225" s="104" t="e">
        <f t="shared" ca="1" si="527"/>
        <v>#N/A</v>
      </c>
      <c r="BN225" s="40" t="e">
        <f ca="1">IF(ISNUMBER(BK225),BN224+SUMIF(BK218:BK229,"&lt;&gt;#NV",BK218:BK229)/COUNTIF(BK218:BK229,"&lt;&gt;#NV"),#N/A)</f>
        <v>#N/A</v>
      </c>
      <c r="BO225" s="10" t="e">
        <f t="shared" ca="1" si="584"/>
        <v>#N/A</v>
      </c>
      <c r="BP225" s="104" t="e">
        <f t="shared" ca="1" si="477"/>
        <v>#N/A</v>
      </c>
      <c r="BQ225" s="104">
        <f t="shared" ca="1" si="500"/>
        <v>-59227.101359285516</v>
      </c>
      <c r="BR225" s="10">
        <f t="shared" si="517"/>
        <v>9.9166666666666661</v>
      </c>
      <c r="BS225" s="311"/>
      <c r="BT225" s="307"/>
      <c r="BU225" s="295">
        <f t="shared" si="518"/>
        <v>0</v>
      </c>
      <c r="BV225" s="323"/>
      <c r="BW225" s="299">
        <f t="shared" si="519"/>
        <v>0</v>
      </c>
      <c r="BX225" s="295">
        <f t="shared" si="520"/>
        <v>0</v>
      </c>
      <c r="BY225" s="382"/>
      <c r="BZ225" s="299">
        <f t="shared" si="528"/>
        <v>0</v>
      </c>
      <c r="CA225" s="295">
        <f t="shared" si="540"/>
        <v>0</v>
      </c>
      <c r="CB225" s="323"/>
      <c r="CC225" s="314">
        <f t="shared" si="599"/>
        <v>0</v>
      </c>
      <c r="CD225" s="326"/>
      <c r="CE225" s="299">
        <f t="shared" si="521"/>
        <v>0</v>
      </c>
      <c r="CF225" s="284">
        <f t="shared" si="600"/>
        <v>0</v>
      </c>
      <c r="CG225" s="323"/>
      <c r="CH225" s="302">
        <f t="shared" si="558"/>
        <v>0</v>
      </c>
      <c r="CI225" s="108">
        <f t="shared" si="522"/>
        <v>0</v>
      </c>
      <c r="CJ225" s="200">
        <f t="shared" si="523"/>
        <v>0</v>
      </c>
      <c r="CK225" s="197">
        <f t="shared" si="549"/>
        <v>0</v>
      </c>
      <c r="CL225" s="203">
        <f t="shared" si="524"/>
        <v>12</v>
      </c>
      <c r="CM225" s="4">
        <f>U225*Jahresdaten!$AD$2</f>
        <v>0</v>
      </c>
      <c r="CN225" s="112">
        <f>CJ225*Jahresdaten!$AD$2</f>
        <v>0</v>
      </c>
      <c r="CO225" s="366"/>
      <c r="CP225" s="116">
        <f>U225*Jahresdaten!$AD$3</f>
        <v>0</v>
      </c>
      <c r="CQ225" s="12">
        <f>CJ225*Jahresdaten!$AD$3</f>
        <v>0</v>
      </c>
      <c r="CR225" s="353"/>
      <c r="CS225" s="14"/>
      <c r="CT225" s="136"/>
      <c r="CU225" s="140" t="str">
        <f>IF(CT225=0,"",CT225*'Vergleich Holz Strom'!$B$2)</f>
        <v/>
      </c>
      <c r="CV225" s="353">
        <f>SUM(CS218:CS229)</f>
        <v>1169</v>
      </c>
      <c r="CW225" s="366"/>
      <c r="CX225" s="345"/>
      <c r="CY225" s="345"/>
      <c r="CZ225" s="345"/>
      <c r="DA225" s="348"/>
      <c r="DB225" s="94"/>
      <c r="DC225" s="88">
        <f t="shared" si="453"/>
        <v>37559.177999999978</v>
      </c>
      <c r="DD225" s="94"/>
      <c r="DE225" s="88">
        <f t="shared" si="465"/>
        <v>-29425.112547000001</v>
      </c>
      <c r="DF225" s="100" t="e">
        <f ca="1">BE225+(SUM(CS218:CS229)/12)</f>
        <v>#N/A</v>
      </c>
      <c r="DG225" s="351"/>
      <c r="DH225" s="8">
        <f t="shared" si="590"/>
        <v>0</v>
      </c>
      <c r="DI225" s="123">
        <f t="shared" si="478"/>
        <v>16000</v>
      </c>
      <c r="DJ225" s="2">
        <f t="shared" si="591"/>
        <v>0</v>
      </c>
      <c r="DK225" s="127">
        <f>DK229/12*8</f>
        <v>5200</v>
      </c>
      <c r="DL225" s="2">
        <f t="shared" si="592"/>
        <v>650</v>
      </c>
      <c r="DM225" s="130">
        <f t="shared" si="593"/>
        <v>0</v>
      </c>
      <c r="DN225" s="3">
        <f>DN229/12*8</f>
        <v>2000</v>
      </c>
      <c r="DO225" s="130">
        <f t="shared" si="594"/>
        <v>250</v>
      </c>
      <c r="DP225" s="4">
        <f t="shared" si="595"/>
        <v>0</v>
      </c>
      <c r="DQ225" s="116">
        <f t="shared" si="596"/>
        <v>8800</v>
      </c>
      <c r="DR225" s="116">
        <f t="shared" si="601"/>
        <v>1100</v>
      </c>
    </row>
    <row r="226" spans="1:122" ht="14.25" customHeight="1" thickBot="1" x14ac:dyDescent="0.2">
      <c r="A226" s="416"/>
      <c r="B226" s="16">
        <v>50192</v>
      </c>
      <c r="C226" s="207">
        <f>'PV-Felder'!$I$7</f>
        <v>3595.6000000000004</v>
      </c>
      <c r="D226" s="351"/>
      <c r="E226" s="61">
        <v>0</v>
      </c>
      <c r="F226" s="351"/>
      <c r="G226" s="56" t="e">
        <f t="shared" ca="1" si="509"/>
        <v>#N/A</v>
      </c>
      <c r="H226" s="351"/>
      <c r="I226" s="61">
        <v>0</v>
      </c>
      <c r="J226" s="351"/>
      <c r="K226" s="61">
        <v>0</v>
      </c>
      <c r="L226" s="351"/>
      <c r="M226" s="65">
        <f t="shared" si="536"/>
        <v>0</v>
      </c>
      <c r="N226" s="373"/>
      <c r="O226" s="288"/>
      <c r="P226" s="288"/>
      <c r="Q226" s="286">
        <f t="shared" si="510"/>
        <v>0</v>
      </c>
      <c r="R226" s="334"/>
      <c r="S226" s="61">
        <v>0</v>
      </c>
      <c r="T226" s="376"/>
      <c r="U226" s="61">
        <v>0</v>
      </c>
      <c r="V226" s="342"/>
      <c r="W226" s="61">
        <v>0</v>
      </c>
      <c r="X226" s="342"/>
      <c r="Y226" s="211" t="e">
        <f t="shared" si="444"/>
        <v>#N/A</v>
      </c>
      <c r="Z226" s="370"/>
      <c r="AA226" s="61">
        <v>0</v>
      </c>
      <c r="AB226" s="351"/>
      <c r="AC226" s="61">
        <v>0</v>
      </c>
      <c r="AD226" s="351"/>
      <c r="AE226" s="73" t="e">
        <f t="shared" si="472"/>
        <v>#N/A</v>
      </c>
      <c r="AF226" s="356"/>
      <c r="AG226" s="73" t="e">
        <f t="shared" si="473"/>
        <v>#N/A</v>
      </c>
      <c r="AH226" s="356"/>
      <c r="AI226" s="221">
        <f t="shared" si="597"/>
        <v>29.26</v>
      </c>
      <c r="AJ226" s="78">
        <f t="shared" ref="AJ226:AP226" si="607">AJ225</f>
        <v>0.26750000000000002</v>
      </c>
      <c r="AK226" s="79">
        <f t="shared" si="607"/>
        <v>9.9166666666666661</v>
      </c>
      <c r="AL226" s="80">
        <f t="shared" si="607"/>
        <v>187</v>
      </c>
      <c r="AM226" s="78">
        <f t="shared" si="607"/>
        <v>9.737942583732058E-2</v>
      </c>
      <c r="AN226" s="80">
        <f t="shared" si="607"/>
        <v>143</v>
      </c>
      <c r="AO226" s="78">
        <f t="shared" si="607"/>
        <v>0.21099999999999999</v>
      </c>
      <c r="AP226" s="88">
        <f t="shared" si="607"/>
        <v>12</v>
      </c>
      <c r="AQ226" s="64">
        <f t="shared" si="545"/>
        <v>21.5</v>
      </c>
      <c r="AR226" s="64">
        <f t="shared" si="546"/>
        <v>11.5</v>
      </c>
      <c r="AS226" s="88">
        <f t="shared" si="547"/>
        <v>1.1830000000000001</v>
      </c>
      <c r="AT226" s="91">
        <f t="shared" si="588"/>
        <v>283</v>
      </c>
      <c r="AU226" s="94"/>
      <c r="AV226" s="95"/>
      <c r="AW226" s="56">
        <f t="shared" si="512"/>
        <v>0</v>
      </c>
      <c r="AX226" s="351"/>
      <c r="AY226" s="100">
        <f t="shared" si="551"/>
        <v>9.9166666666666661</v>
      </c>
      <c r="AZ226" s="360"/>
      <c r="BA226" s="91">
        <f t="shared" si="589"/>
        <v>-2156.5292136666712</v>
      </c>
      <c r="BB226" s="5">
        <f t="shared" si="475"/>
        <v>-9.9166666666666661</v>
      </c>
      <c r="BC226" s="363"/>
      <c r="BD226" s="91" t="e">
        <f t="shared" ca="1" si="513"/>
        <v>#N/A</v>
      </c>
      <c r="BE226" s="91" t="e">
        <f t="shared" ca="1" si="514"/>
        <v>#N/A</v>
      </c>
      <c r="BF226" s="91">
        <f t="shared" si="515"/>
        <v>31.833333333333329</v>
      </c>
      <c r="BG226" s="91" t="e">
        <f t="shared" ca="1" si="516"/>
        <v>#N/A</v>
      </c>
      <c r="BH226" s="91" t="e">
        <f t="shared" ca="1" si="561"/>
        <v>#N/A</v>
      </c>
      <c r="BI226" s="10" t="e">
        <f t="shared" ca="1" si="539"/>
        <v>#N/A</v>
      </c>
      <c r="BJ226" s="104">
        <f>((M226+Q226)*AJ226+AK226)+((U226-W226+W226/('Vergleich Holz Strom'!$B$8-0.6))*AO226+AP226)</f>
        <v>21.916666666666664</v>
      </c>
      <c r="BK226" s="10" t="e">
        <f t="shared" ca="1" si="476"/>
        <v>#N/A</v>
      </c>
      <c r="BL226" s="379"/>
      <c r="BM226" s="104" t="e">
        <f t="shared" ca="1" si="527"/>
        <v>#N/A</v>
      </c>
      <c r="BN226" s="40" t="e">
        <f ca="1">IF(ISNUMBER(BK226),BN225+SUMIF(BK218:BK229,"&lt;&gt;#NV",BK218:BK229)/COUNTIF(BK218:BK229,"&lt;&gt;#NV"),#N/A)</f>
        <v>#N/A</v>
      </c>
      <c r="BO226" s="10" t="e">
        <f t="shared" ca="1" si="584"/>
        <v>#N/A</v>
      </c>
      <c r="BP226" s="104" t="e">
        <f t="shared" ca="1" si="477"/>
        <v>#N/A</v>
      </c>
      <c r="BQ226" s="104">
        <f t="shared" ca="1" si="500"/>
        <v>-59210.901829328293</v>
      </c>
      <c r="BR226" s="10">
        <f t="shared" si="517"/>
        <v>9.9166666666666661</v>
      </c>
      <c r="BS226" s="311"/>
      <c r="BT226" s="307"/>
      <c r="BU226" s="295">
        <f t="shared" si="518"/>
        <v>0</v>
      </c>
      <c r="BV226" s="323"/>
      <c r="BW226" s="299">
        <f t="shared" si="519"/>
        <v>0</v>
      </c>
      <c r="BX226" s="295">
        <f t="shared" si="520"/>
        <v>0</v>
      </c>
      <c r="BY226" s="382"/>
      <c r="BZ226" s="299">
        <f t="shared" si="528"/>
        <v>0</v>
      </c>
      <c r="CA226" s="295">
        <f t="shared" si="540"/>
        <v>0</v>
      </c>
      <c r="CB226" s="323"/>
      <c r="CC226" s="314">
        <f t="shared" si="599"/>
        <v>0</v>
      </c>
      <c r="CD226" s="326"/>
      <c r="CE226" s="299">
        <f t="shared" si="521"/>
        <v>0</v>
      </c>
      <c r="CF226" s="284">
        <f t="shared" si="600"/>
        <v>0</v>
      </c>
      <c r="CG226" s="323"/>
      <c r="CH226" s="302">
        <f t="shared" si="558"/>
        <v>0</v>
      </c>
      <c r="CI226" s="108">
        <f t="shared" si="522"/>
        <v>0</v>
      </c>
      <c r="CJ226" s="200">
        <f t="shared" si="523"/>
        <v>0</v>
      </c>
      <c r="CK226" s="197">
        <f t="shared" si="549"/>
        <v>0</v>
      </c>
      <c r="CL226" s="203">
        <f t="shared" si="524"/>
        <v>12</v>
      </c>
      <c r="CM226" s="4">
        <f>U226*Jahresdaten!$AD$2</f>
        <v>0</v>
      </c>
      <c r="CN226" s="112">
        <f>CJ226*Jahresdaten!$AD$2</f>
        <v>0</v>
      </c>
      <c r="CO226" s="366"/>
      <c r="CP226" s="116">
        <f>U226*Jahresdaten!$AD$3</f>
        <v>0</v>
      </c>
      <c r="CQ226" s="12">
        <f>CJ226*Jahresdaten!$AD$3</f>
        <v>0</v>
      </c>
      <c r="CR226" s="353"/>
      <c r="CS226" s="14"/>
      <c r="CT226" s="136"/>
      <c r="CU226" s="140" t="str">
        <f>IF(CT226=0,"",CT226*'Vergleich Holz Strom'!$B$2)</f>
        <v/>
      </c>
      <c r="CV226" s="353"/>
      <c r="CW226" s="366"/>
      <c r="CX226" s="345"/>
      <c r="CY226" s="345"/>
      <c r="CZ226" s="345"/>
      <c r="DA226" s="348"/>
      <c r="DB226" s="94"/>
      <c r="DC226" s="88">
        <f t="shared" si="453"/>
        <v>37736.261333333314</v>
      </c>
      <c r="DD226" s="94"/>
      <c r="DE226" s="88">
        <f t="shared" si="465"/>
        <v>-29568.112547000001</v>
      </c>
      <c r="DF226" s="100" t="e">
        <f ca="1">BE226+(SUM(CS218:CS229)/12)</f>
        <v>#N/A</v>
      </c>
      <c r="DG226" s="351"/>
      <c r="DH226" s="8">
        <f t="shared" si="590"/>
        <v>0</v>
      </c>
      <c r="DI226" s="123">
        <f t="shared" si="478"/>
        <v>17200</v>
      </c>
      <c r="DJ226" s="2">
        <f t="shared" si="591"/>
        <v>0</v>
      </c>
      <c r="DK226" s="127">
        <f>DK229/12*9</f>
        <v>5850</v>
      </c>
      <c r="DL226" s="2">
        <f t="shared" si="592"/>
        <v>650</v>
      </c>
      <c r="DM226" s="130">
        <f t="shared" si="593"/>
        <v>0</v>
      </c>
      <c r="DN226" s="3">
        <f>DN229/12*9</f>
        <v>2250</v>
      </c>
      <c r="DO226" s="130">
        <f t="shared" si="594"/>
        <v>250</v>
      </c>
      <c r="DP226" s="4">
        <f t="shared" si="595"/>
        <v>0</v>
      </c>
      <c r="DQ226" s="116">
        <f t="shared" si="596"/>
        <v>9100</v>
      </c>
      <c r="DR226" s="116">
        <f t="shared" si="601"/>
        <v>300</v>
      </c>
    </row>
    <row r="227" spans="1:122" ht="14.25" customHeight="1" thickBot="1" x14ac:dyDescent="0.2">
      <c r="A227" s="416"/>
      <c r="B227" s="16">
        <v>50222</v>
      </c>
      <c r="C227" s="207">
        <f>'PV-Felder'!$I$8</f>
        <v>3593.8</v>
      </c>
      <c r="D227" s="351"/>
      <c r="E227" s="61">
        <v>0</v>
      </c>
      <c r="F227" s="351"/>
      <c r="G227" s="56" t="e">
        <f t="shared" ca="1" si="509"/>
        <v>#N/A</v>
      </c>
      <c r="H227" s="351"/>
      <c r="I227" s="61">
        <v>0</v>
      </c>
      <c r="J227" s="351"/>
      <c r="K227" s="61">
        <v>0</v>
      </c>
      <c r="L227" s="351"/>
      <c r="M227" s="65">
        <f t="shared" si="536"/>
        <v>0</v>
      </c>
      <c r="N227" s="373"/>
      <c r="O227" s="288"/>
      <c r="P227" s="288"/>
      <c r="Q227" s="286">
        <f t="shared" si="510"/>
        <v>0</v>
      </c>
      <c r="R227" s="334"/>
      <c r="S227" s="61">
        <v>0</v>
      </c>
      <c r="T227" s="376"/>
      <c r="U227" s="61">
        <v>0</v>
      </c>
      <c r="V227" s="342"/>
      <c r="W227" s="61">
        <v>0</v>
      </c>
      <c r="X227" s="342"/>
      <c r="Y227" s="211" t="e">
        <f t="shared" si="444"/>
        <v>#N/A</v>
      </c>
      <c r="Z227" s="370"/>
      <c r="AA227" s="61">
        <v>0</v>
      </c>
      <c r="AB227" s="351"/>
      <c r="AC227" s="61">
        <v>0</v>
      </c>
      <c r="AD227" s="351"/>
      <c r="AE227" s="73" t="e">
        <f t="shared" si="472"/>
        <v>#N/A</v>
      </c>
      <c r="AF227" s="356"/>
      <c r="AG227" s="73" t="e">
        <f t="shared" si="473"/>
        <v>#N/A</v>
      </c>
      <c r="AH227" s="356"/>
      <c r="AI227" s="221">
        <f t="shared" si="597"/>
        <v>29.26</v>
      </c>
      <c r="AJ227" s="78">
        <f t="shared" ref="AJ227:AP227" si="608">AJ226</f>
        <v>0.26750000000000002</v>
      </c>
      <c r="AK227" s="79">
        <f t="shared" si="608"/>
        <v>9.9166666666666661</v>
      </c>
      <c r="AL227" s="80">
        <f t="shared" si="608"/>
        <v>187</v>
      </c>
      <c r="AM227" s="78">
        <f t="shared" si="608"/>
        <v>9.737942583732058E-2</v>
      </c>
      <c r="AN227" s="80">
        <f t="shared" si="608"/>
        <v>143</v>
      </c>
      <c r="AO227" s="78">
        <f t="shared" si="608"/>
        <v>0.21099999999999999</v>
      </c>
      <c r="AP227" s="88">
        <f t="shared" si="608"/>
        <v>12</v>
      </c>
      <c r="AQ227" s="64">
        <f t="shared" si="545"/>
        <v>21.5</v>
      </c>
      <c r="AR227" s="64">
        <f t="shared" si="546"/>
        <v>11.5</v>
      </c>
      <c r="AS227" s="88">
        <f t="shared" si="547"/>
        <v>1.1830000000000001</v>
      </c>
      <c r="AT227" s="91">
        <f>AT226</f>
        <v>283</v>
      </c>
      <c r="AU227" s="94"/>
      <c r="AV227" s="95"/>
      <c r="AW227" s="56">
        <f t="shared" si="512"/>
        <v>0</v>
      </c>
      <c r="AX227" s="351"/>
      <c r="AY227" s="100">
        <f t="shared" si="551"/>
        <v>9.9166666666666661</v>
      </c>
      <c r="AZ227" s="360"/>
      <c r="BA227" s="91">
        <f t="shared" si="589"/>
        <v>-2166.4458803333378</v>
      </c>
      <c r="BB227" s="5">
        <f t="shared" si="475"/>
        <v>-9.9166666666666661</v>
      </c>
      <c r="BC227" s="363"/>
      <c r="BD227" s="91" t="e">
        <f t="shared" ca="1" si="513"/>
        <v>#N/A</v>
      </c>
      <c r="BE227" s="91" t="e">
        <f t="shared" ca="1" si="514"/>
        <v>#N/A</v>
      </c>
      <c r="BF227" s="91">
        <f t="shared" si="515"/>
        <v>31.833333333333329</v>
      </c>
      <c r="BG227" s="91" t="e">
        <f t="shared" ca="1" si="516"/>
        <v>#N/A</v>
      </c>
      <c r="BH227" s="91" t="e">
        <f t="shared" ca="1" si="561"/>
        <v>#N/A</v>
      </c>
      <c r="BI227" s="10" t="e">
        <f t="shared" ca="1" si="539"/>
        <v>#N/A</v>
      </c>
      <c r="BJ227" s="104">
        <f>((M227+Q227)*AJ227+AK227)+((U227-W227+W227/('Vergleich Holz Strom'!$B$8-0.6))*AO227+AP227)</f>
        <v>21.916666666666664</v>
      </c>
      <c r="BK227" s="10" t="e">
        <f t="shared" ca="1" si="476"/>
        <v>#N/A</v>
      </c>
      <c r="BL227" s="379"/>
      <c r="BM227" s="104" t="e">
        <f t="shared" ca="1" si="527"/>
        <v>#N/A</v>
      </c>
      <c r="BN227" s="40" t="e">
        <f ca="1">IF(ISNUMBER(BK227),BN226+SUMIF(BK218:BK229,"&lt;&gt;#NV",BK218:BK229)/COUNTIF(BK218:BK229,"&lt;&gt;#NV"),#N/A)</f>
        <v>#N/A</v>
      </c>
      <c r="BO227" s="10" t="e">
        <f ca="1">BK227+AT227+AU227</f>
        <v>#N/A</v>
      </c>
      <c r="BP227" s="104" t="e">
        <f t="shared" ca="1" si="477"/>
        <v>#N/A</v>
      </c>
      <c r="BQ227" s="104">
        <f t="shared" ca="1" si="500"/>
        <v>-59194.702299371071</v>
      </c>
      <c r="BR227" s="10">
        <f t="shared" si="517"/>
        <v>9.9166666666666661</v>
      </c>
      <c r="BS227" s="311"/>
      <c r="BT227" s="307"/>
      <c r="BU227" s="295">
        <f t="shared" si="518"/>
        <v>0</v>
      </c>
      <c r="BV227" s="323"/>
      <c r="BW227" s="299">
        <f t="shared" si="519"/>
        <v>0</v>
      </c>
      <c r="BX227" s="295">
        <f t="shared" si="520"/>
        <v>0</v>
      </c>
      <c r="BY227" s="382"/>
      <c r="BZ227" s="299">
        <f t="shared" si="528"/>
        <v>0</v>
      </c>
      <c r="CA227" s="295">
        <f t="shared" si="540"/>
        <v>0</v>
      </c>
      <c r="CB227" s="323"/>
      <c r="CC227" s="314">
        <f t="shared" si="599"/>
        <v>0</v>
      </c>
      <c r="CD227" s="326"/>
      <c r="CE227" s="299">
        <f t="shared" si="521"/>
        <v>0</v>
      </c>
      <c r="CF227" s="284">
        <f t="shared" si="600"/>
        <v>0</v>
      </c>
      <c r="CG227" s="323"/>
      <c r="CH227" s="302">
        <f t="shared" si="558"/>
        <v>0</v>
      </c>
      <c r="CI227" s="108">
        <f t="shared" si="522"/>
        <v>0</v>
      </c>
      <c r="CJ227" s="200">
        <f t="shared" si="523"/>
        <v>0</v>
      </c>
      <c r="CK227" s="197">
        <f t="shared" si="549"/>
        <v>0</v>
      </c>
      <c r="CL227" s="203">
        <f t="shared" si="524"/>
        <v>12</v>
      </c>
      <c r="CM227" s="4">
        <f>U227*Jahresdaten!$AD$2</f>
        <v>0</v>
      </c>
      <c r="CN227" s="112">
        <f>CJ227*Jahresdaten!$AD$2</f>
        <v>0</v>
      </c>
      <c r="CO227" s="366"/>
      <c r="CP227" s="116">
        <f>U227*Jahresdaten!$AD$3</f>
        <v>0</v>
      </c>
      <c r="CQ227" s="12">
        <f>CJ227*Jahresdaten!$AD$3</f>
        <v>0</v>
      </c>
      <c r="CR227" s="353"/>
      <c r="CS227" s="14"/>
      <c r="CT227" s="136"/>
      <c r="CU227" s="140" t="str">
        <f>IF(CT227=0,"",CT227*'Vergleich Holz Strom'!$B$2)</f>
        <v/>
      </c>
      <c r="CV227" s="353"/>
      <c r="CW227" s="366"/>
      <c r="CX227" s="345"/>
      <c r="CY227" s="345"/>
      <c r="CZ227" s="345"/>
      <c r="DA227" s="348"/>
      <c r="DB227" s="94"/>
      <c r="DC227" s="88">
        <f t="shared" si="453"/>
        <v>37913.34466666665</v>
      </c>
      <c r="DD227" s="94"/>
      <c r="DE227" s="88">
        <f t="shared" si="465"/>
        <v>-29711.112547000001</v>
      </c>
      <c r="DF227" s="100" t="e">
        <f ca="1">BE227+(SUM(CS218:CS229)/12)</f>
        <v>#N/A</v>
      </c>
      <c r="DG227" s="351"/>
      <c r="DH227" s="8">
        <f t="shared" si="590"/>
        <v>0</v>
      </c>
      <c r="DI227" s="123">
        <f t="shared" si="478"/>
        <v>18250</v>
      </c>
      <c r="DJ227" s="2">
        <f t="shared" si="591"/>
        <v>0</v>
      </c>
      <c r="DK227" s="127">
        <f>DK229/12*10</f>
        <v>6500</v>
      </c>
      <c r="DL227" s="2">
        <f t="shared" si="592"/>
        <v>650</v>
      </c>
      <c r="DM227" s="130">
        <f t="shared" si="593"/>
        <v>0</v>
      </c>
      <c r="DN227" s="3">
        <f>DN229/12*10</f>
        <v>2500</v>
      </c>
      <c r="DO227" s="130">
        <f t="shared" si="594"/>
        <v>250</v>
      </c>
      <c r="DP227" s="4">
        <f t="shared" si="595"/>
        <v>0</v>
      </c>
      <c r="DQ227" s="116">
        <f t="shared" si="596"/>
        <v>9250</v>
      </c>
      <c r="DR227" s="116">
        <f t="shared" si="601"/>
        <v>150</v>
      </c>
    </row>
    <row r="228" spans="1:122" ht="14.25" customHeight="1" thickBot="1" x14ac:dyDescent="0.2">
      <c r="A228" s="416"/>
      <c r="B228" s="16">
        <v>50253</v>
      </c>
      <c r="C228" s="207">
        <f>'PV-Felder'!$I$9</f>
        <v>3065.7</v>
      </c>
      <c r="D228" s="351"/>
      <c r="E228" s="61">
        <v>0</v>
      </c>
      <c r="F228" s="351"/>
      <c r="G228" s="56" t="e">
        <f t="shared" ca="1" si="509"/>
        <v>#N/A</v>
      </c>
      <c r="H228" s="351"/>
      <c r="I228" s="61">
        <v>0</v>
      </c>
      <c r="J228" s="351"/>
      <c r="K228" s="61">
        <v>0</v>
      </c>
      <c r="L228" s="351"/>
      <c r="M228" s="65">
        <f t="shared" si="536"/>
        <v>0</v>
      </c>
      <c r="N228" s="373"/>
      <c r="O228" s="288"/>
      <c r="P228" s="288"/>
      <c r="Q228" s="286">
        <f t="shared" si="510"/>
        <v>0</v>
      </c>
      <c r="R228" s="334"/>
      <c r="S228" s="61">
        <v>0</v>
      </c>
      <c r="T228" s="376"/>
      <c r="U228" s="61">
        <v>0</v>
      </c>
      <c r="V228" s="342"/>
      <c r="W228" s="61">
        <v>0</v>
      </c>
      <c r="X228" s="342"/>
      <c r="Y228" s="211" t="e">
        <f t="shared" si="444"/>
        <v>#N/A</v>
      </c>
      <c r="Z228" s="370"/>
      <c r="AA228" s="61">
        <v>0</v>
      </c>
      <c r="AB228" s="351"/>
      <c r="AC228" s="61">
        <v>0</v>
      </c>
      <c r="AD228" s="351"/>
      <c r="AE228" s="73" t="e">
        <f t="shared" si="472"/>
        <v>#N/A</v>
      </c>
      <c r="AF228" s="356"/>
      <c r="AG228" s="73" t="e">
        <f t="shared" si="473"/>
        <v>#N/A</v>
      </c>
      <c r="AH228" s="356"/>
      <c r="AI228" s="221">
        <f t="shared" si="597"/>
        <v>29.26</v>
      </c>
      <c r="AJ228" s="78">
        <f t="shared" ref="AJ228:AP228" si="609">AJ227</f>
        <v>0.26750000000000002</v>
      </c>
      <c r="AK228" s="79">
        <f t="shared" si="609"/>
        <v>9.9166666666666661</v>
      </c>
      <c r="AL228" s="80">
        <f t="shared" si="609"/>
        <v>187</v>
      </c>
      <c r="AM228" s="78">
        <f t="shared" si="609"/>
        <v>9.737942583732058E-2</v>
      </c>
      <c r="AN228" s="80">
        <f t="shared" si="609"/>
        <v>143</v>
      </c>
      <c r="AO228" s="78">
        <f t="shared" si="609"/>
        <v>0.21099999999999999</v>
      </c>
      <c r="AP228" s="88">
        <f t="shared" si="609"/>
        <v>12</v>
      </c>
      <c r="AQ228" s="64">
        <f t="shared" si="545"/>
        <v>21.5</v>
      </c>
      <c r="AR228" s="64">
        <f t="shared" si="546"/>
        <v>11.5</v>
      </c>
      <c r="AS228" s="88">
        <f t="shared" si="547"/>
        <v>1.1830000000000001</v>
      </c>
      <c r="AT228" s="91">
        <v>123</v>
      </c>
      <c r="AU228" s="94"/>
      <c r="AV228" s="95"/>
      <c r="AW228" s="56">
        <f t="shared" si="512"/>
        <v>0</v>
      </c>
      <c r="AX228" s="351"/>
      <c r="AY228" s="100">
        <f t="shared" si="551"/>
        <v>9.9166666666666661</v>
      </c>
      <c r="AZ228" s="360"/>
      <c r="BA228" s="91">
        <f t="shared" si="589"/>
        <v>-2176.3625470000043</v>
      </c>
      <c r="BB228" s="5">
        <f t="shared" si="475"/>
        <v>-9.9166666666666661</v>
      </c>
      <c r="BC228" s="363"/>
      <c r="BD228" s="91" t="e">
        <f t="shared" ca="1" si="513"/>
        <v>#N/A</v>
      </c>
      <c r="BE228" s="91" t="e">
        <f t="shared" ca="1" si="514"/>
        <v>#N/A</v>
      </c>
      <c r="BF228" s="91">
        <f t="shared" si="515"/>
        <v>31.833333333333329</v>
      </c>
      <c r="BG228" s="91" t="e">
        <f t="shared" ca="1" si="516"/>
        <v>#N/A</v>
      </c>
      <c r="BH228" s="91" t="e">
        <f t="shared" ca="1" si="561"/>
        <v>#N/A</v>
      </c>
      <c r="BI228" s="10" t="e">
        <f t="shared" ca="1" si="539"/>
        <v>#N/A</v>
      </c>
      <c r="BJ228" s="104">
        <f>((M228+Q228)*AJ228+AK228)+((U228-W228+W228/('Vergleich Holz Strom'!$B$8-0.6))*AO228+AP228)</f>
        <v>21.916666666666664</v>
      </c>
      <c r="BK228" s="10" t="e">
        <f t="shared" ca="1" si="476"/>
        <v>#N/A</v>
      </c>
      <c r="BL228" s="379"/>
      <c r="BM228" s="104" t="e">
        <f t="shared" ca="1" si="527"/>
        <v>#N/A</v>
      </c>
      <c r="BN228" s="40" t="e">
        <f ca="1">IF(ISNUMBER(BK228),BN227+SUMIF(BK218:BK229,"&lt;&gt;#NV",BK218:BK229)/COUNTIF(BK218:BK229,"&lt;&gt;#NV"),#N/A)</f>
        <v>#N/A</v>
      </c>
      <c r="BO228" s="10" t="e">
        <f t="shared" ref="BO228:BO238" ca="1" si="610">BK228+AT228+AU228</f>
        <v>#N/A</v>
      </c>
      <c r="BP228" s="104" t="e">
        <f t="shared" ca="1" si="477"/>
        <v>#N/A</v>
      </c>
      <c r="BQ228" s="104">
        <f t="shared" ca="1" si="500"/>
        <v>-59178.502769413848</v>
      </c>
      <c r="BR228" s="10">
        <f t="shared" si="517"/>
        <v>9.9166666666666661</v>
      </c>
      <c r="BS228" s="311"/>
      <c r="BT228" s="307"/>
      <c r="BU228" s="295">
        <f t="shared" si="518"/>
        <v>0</v>
      </c>
      <c r="BV228" s="323"/>
      <c r="BW228" s="299">
        <f t="shared" si="519"/>
        <v>0</v>
      </c>
      <c r="BX228" s="295">
        <f t="shared" si="520"/>
        <v>0</v>
      </c>
      <c r="BY228" s="382"/>
      <c r="BZ228" s="299">
        <f t="shared" si="528"/>
        <v>0</v>
      </c>
      <c r="CA228" s="295">
        <f t="shared" si="540"/>
        <v>0</v>
      </c>
      <c r="CB228" s="323"/>
      <c r="CC228" s="314">
        <f t="shared" si="599"/>
        <v>0</v>
      </c>
      <c r="CD228" s="326"/>
      <c r="CE228" s="299">
        <f t="shared" si="521"/>
        <v>0</v>
      </c>
      <c r="CF228" s="284">
        <f t="shared" si="600"/>
        <v>0</v>
      </c>
      <c r="CG228" s="323"/>
      <c r="CH228" s="302">
        <f t="shared" si="558"/>
        <v>0</v>
      </c>
      <c r="CI228" s="108">
        <f t="shared" si="522"/>
        <v>0</v>
      </c>
      <c r="CJ228" s="200">
        <f t="shared" si="523"/>
        <v>0</v>
      </c>
      <c r="CK228" s="197">
        <f t="shared" si="549"/>
        <v>0</v>
      </c>
      <c r="CL228" s="203">
        <f t="shared" si="524"/>
        <v>12</v>
      </c>
      <c r="CM228" s="4">
        <f>U228*Jahresdaten!$AD$2</f>
        <v>0</v>
      </c>
      <c r="CN228" s="112">
        <f>CJ228*Jahresdaten!$AD$2</f>
        <v>0</v>
      </c>
      <c r="CO228" s="366"/>
      <c r="CP228" s="116">
        <f>U228*Jahresdaten!$AD$3</f>
        <v>0</v>
      </c>
      <c r="CQ228" s="12">
        <f>CJ228*Jahresdaten!$AD$3</f>
        <v>0</v>
      </c>
      <c r="CR228" s="353"/>
      <c r="CS228" s="14"/>
      <c r="CT228" s="136"/>
      <c r="CU228" s="140" t="str">
        <f>IF(CT228=0,"",CT228*'Vergleich Holz Strom'!$B$2)</f>
        <v/>
      </c>
      <c r="CV228" s="353"/>
      <c r="CW228" s="366"/>
      <c r="CX228" s="345"/>
      <c r="CY228" s="345"/>
      <c r="CZ228" s="345"/>
      <c r="DA228" s="348"/>
      <c r="DB228" s="94"/>
      <c r="DC228" s="88">
        <f t="shared" si="453"/>
        <v>38090.427999999985</v>
      </c>
      <c r="DD228" s="94"/>
      <c r="DE228" s="88">
        <f t="shared" si="465"/>
        <v>-29854.112547000001</v>
      </c>
      <c r="DF228" s="100" t="e">
        <f ca="1">BE228+(SUM(CS218:CS229)/12)</f>
        <v>#N/A</v>
      </c>
      <c r="DG228" s="351"/>
      <c r="DH228" s="8">
        <f t="shared" si="590"/>
        <v>0</v>
      </c>
      <c r="DI228" s="123">
        <f t="shared" si="478"/>
        <v>19300</v>
      </c>
      <c r="DJ228" s="2">
        <f t="shared" si="591"/>
        <v>0</v>
      </c>
      <c r="DK228" s="127">
        <f>DK229/12*11</f>
        <v>7150</v>
      </c>
      <c r="DL228" s="2">
        <f t="shared" si="592"/>
        <v>650</v>
      </c>
      <c r="DM228" s="130">
        <f t="shared" si="593"/>
        <v>0</v>
      </c>
      <c r="DN228" s="3">
        <f>DN229/12*11</f>
        <v>2750</v>
      </c>
      <c r="DO228" s="130">
        <f t="shared" si="594"/>
        <v>250</v>
      </c>
      <c r="DP228" s="4">
        <f t="shared" si="595"/>
        <v>0</v>
      </c>
      <c r="DQ228" s="116">
        <f t="shared" si="596"/>
        <v>9400</v>
      </c>
      <c r="DR228" s="116">
        <f t="shared" si="601"/>
        <v>150</v>
      </c>
    </row>
    <row r="229" spans="1:122" s="28" customFormat="1" ht="15" customHeight="1" thickBot="1" x14ac:dyDescent="0.2">
      <c r="A229" s="417"/>
      <c r="B229" s="18">
        <v>50284</v>
      </c>
      <c r="C229" s="208">
        <f>'PV-Felder'!$I$10</f>
        <v>2246.7000000000003</v>
      </c>
      <c r="D229" s="352"/>
      <c r="E229" s="63">
        <v>0</v>
      </c>
      <c r="F229" s="352"/>
      <c r="G229" s="57" t="e">
        <f t="shared" ca="1" si="509"/>
        <v>#N/A</v>
      </c>
      <c r="H229" s="352"/>
      <c r="I229" s="63">
        <v>0</v>
      </c>
      <c r="J229" s="352"/>
      <c r="K229" s="63">
        <v>0</v>
      </c>
      <c r="L229" s="352"/>
      <c r="M229" s="67">
        <f t="shared" si="536"/>
        <v>0</v>
      </c>
      <c r="N229" s="374"/>
      <c r="O229" s="290"/>
      <c r="P229" s="290"/>
      <c r="Q229" s="289">
        <f t="shared" si="510"/>
        <v>0</v>
      </c>
      <c r="R229" s="334"/>
      <c r="S229" s="63">
        <v>0</v>
      </c>
      <c r="T229" s="377"/>
      <c r="U229" s="63">
        <v>0</v>
      </c>
      <c r="V229" s="343"/>
      <c r="W229" s="63">
        <v>0</v>
      </c>
      <c r="X229" s="343"/>
      <c r="Y229" s="213" t="e">
        <f t="shared" si="444"/>
        <v>#N/A</v>
      </c>
      <c r="Z229" s="371"/>
      <c r="AA229" s="63">
        <v>0</v>
      </c>
      <c r="AB229" s="352"/>
      <c r="AC229" s="63">
        <v>0</v>
      </c>
      <c r="AD229" s="352"/>
      <c r="AE229" s="75" t="e">
        <f t="shared" si="472"/>
        <v>#N/A</v>
      </c>
      <c r="AF229" s="357"/>
      <c r="AG229" s="75" t="e">
        <f t="shared" si="473"/>
        <v>#N/A</v>
      </c>
      <c r="AH229" s="357"/>
      <c r="AI229" s="223">
        <f>AI228</f>
        <v>29.26</v>
      </c>
      <c r="AJ229" s="83">
        <f t="shared" ref="AJ229:AP229" si="611">AJ228</f>
        <v>0.26750000000000002</v>
      </c>
      <c r="AK229" s="21">
        <f t="shared" si="611"/>
        <v>9.9166666666666661</v>
      </c>
      <c r="AL229" s="84">
        <f t="shared" si="611"/>
        <v>187</v>
      </c>
      <c r="AM229" s="83">
        <f t="shared" si="611"/>
        <v>9.737942583732058E-2</v>
      </c>
      <c r="AN229" s="84">
        <f t="shared" si="611"/>
        <v>143</v>
      </c>
      <c r="AO229" s="83">
        <f t="shared" si="611"/>
        <v>0.21099999999999999</v>
      </c>
      <c r="AP229" s="90">
        <f t="shared" si="611"/>
        <v>12</v>
      </c>
      <c r="AQ229" s="125">
        <f t="shared" si="545"/>
        <v>21.5</v>
      </c>
      <c r="AR229" s="125">
        <f t="shared" si="546"/>
        <v>11.5</v>
      </c>
      <c r="AS229" s="92">
        <f t="shared" si="547"/>
        <v>1.1830000000000001</v>
      </c>
      <c r="AT229" s="92">
        <v>123</v>
      </c>
      <c r="AU229" s="98"/>
      <c r="AV229" s="99"/>
      <c r="AW229" s="57">
        <f t="shared" si="512"/>
        <v>0</v>
      </c>
      <c r="AX229" s="352"/>
      <c r="AY229" s="102">
        <f t="shared" si="551"/>
        <v>9.9166666666666661</v>
      </c>
      <c r="AZ229" s="361"/>
      <c r="BA229" s="92">
        <f t="shared" si="589"/>
        <v>-2186.2792136666708</v>
      </c>
      <c r="BB229" s="22">
        <f t="shared" si="475"/>
        <v>-9.9166666666666661</v>
      </c>
      <c r="BC229" s="364"/>
      <c r="BD229" s="92" t="e">
        <f t="shared" ca="1" si="513"/>
        <v>#N/A</v>
      </c>
      <c r="BE229" s="92" t="e">
        <f t="shared" ca="1" si="514"/>
        <v>#N/A</v>
      </c>
      <c r="BF229" s="92">
        <f t="shared" si="515"/>
        <v>31.833333333333329</v>
      </c>
      <c r="BG229" s="92" t="e">
        <f t="shared" ca="1" si="516"/>
        <v>#N/A</v>
      </c>
      <c r="BH229" s="92" t="e">
        <f t="shared" ca="1" si="561"/>
        <v>#N/A</v>
      </c>
      <c r="BI229" s="24" t="e">
        <f t="shared" ca="1" si="539"/>
        <v>#N/A</v>
      </c>
      <c r="BJ229" s="106">
        <f>((M229+Q229)*AJ229+AK229)+((U229-W229+W229/('Vergleich Holz Strom'!$B$8-0.6))*AO229+AP229)</f>
        <v>21.916666666666664</v>
      </c>
      <c r="BK229" s="24" t="e">
        <f t="shared" ca="1" si="476"/>
        <v>#N/A</v>
      </c>
      <c r="BL229" s="380"/>
      <c r="BM229" s="106" t="e">
        <f t="shared" ca="1" si="527"/>
        <v>#N/A</v>
      </c>
      <c r="BN229" s="226" t="e">
        <f ca="1">IF(ISNUMBER(BK229),BN228+SUMIF(BK218:BK229,"&lt;&gt;#NV",BK218:BK229)/COUNTIF(BK218:BK229,"&lt;&gt;#NV"),#N/A)</f>
        <v>#N/A</v>
      </c>
      <c r="BO229" s="318" t="e">
        <f t="shared" ca="1" si="610"/>
        <v>#N/A</v>
      </c>
      <c r="BP229" s="106" t="e">
        <f t="shared" ca="1" si="477"/>
        <v>#N/A</v>
      </c>
      <c r="BQ229" s="106">
        <f t="shared" ca="1" si="500"/>
        <v>-59162.303239456625</v>
      </c>
      <c r="BR229" s="24">
        <f t="shared" si="517"/>
        <v>9.9166666666666661</v>
      </c>
      <c r="BS229" s="312"/>
      <c r="BT229" s="308"/>
      <c r="BU229" s="296">
        <f t="shared" si="518"/>
        <v>0</v>
      </c>
      <c r="BV229" s="324"/>
      <c r="BW229" s="292">
        <f t="shared" si="519"/>
        <v>0</v>
      </c>
      <c r="BX229" s="295">
        <f t="shared" si="520"/>
        <v>0</v>
      </c>
      <c r="BY229" s="382"/>
      <c r="BZ229" s="299">
        <f t="shared" si="528"/>
        <v>0</v>
      </c>
      <c r="CA229" s="296">
        <f t="shared" si="540"/>
        <v>0</v>
      </c>
      <c r="CB229" s="324"/>
      <c r="CC229" s="315">
        <f t="shared" si="599"/>
        <v>0</v>
      </c>
      <c r="CD229" s="327"/>
      <c r="CE229" s="292">
        <f t="shared" si="521"/>
        <v>0</v>
      </c>
      <c r="CF229" s="296">
        <f t="shared" si="600"/>
        <v>0</v>
      </c>
      <c r="CG229" s="324"/>
      <c r="CH229" s="303">
        <f t="shared" si="558"/>
        <v>0</v>
      </c>
      <c r="CI229" s="110">
        <f t="shared" si="522"/>
        <v>0</v>
      </c>
      <c r="CJ229" s="200">
        <f t="shared" si="523"/>
        <v>0</v>
      </c>
      <c r="CK229" s="25">
        <f t="shared" si="549"/>
        <v>0</v>
      </c>
      <c r="CL229" s="204">
        <f t="shared" si="524"/>
        <v>12</v>
      </c>
      <c r="CM229" s="26">
        <f>U229*Jahresdaten!$AD$2</f>
        <v>0</v>
      </c>
      <c r="CN229" s="114">
        <f>CJ229*Jahresdaten!$AD$2</f>
        <v>0</v>
      </c>
      <c r="CO229" s="346"/>
      <c r="CP229" s="118">
        <f>U229*Jahresdaten!$AD$3</f>
        <v>0</v>
      </c>
      <c r="CQ229" s="25">
        <f>CJ229*Jahresdaten!$AD$3</f>
        <v>0</v>
      </c>
      <c r="CR229" s="354"/>
      <c r="CS229" s="23"/>
      <c r="CT229" s="138"/>
      <c r="CU229" s="141" t="str">
        <f>IF(CT229=0,"",CT229*'Vergleich Holz Strom'!$B$2)</f>
        <v/>
      </c>
      <c r="CV229" s="354"/>
      <c r="CW229" s="346"/>
      <c r="CX229" s="346"/>
      <c r="CY229" s="346"/>
      <c r="CZ229" s="346"/>
      <c r="DA229" s="349"/>
      <c r="DB229" s="98"/>
      <c r="DC229" s="90">
        <f t="shared" si="453"/>
        <v>38267.511333333321</v>
      </c>
      <c r="DD229" s="98"/>
      <c r="DE229" s="90">
        <f t="shared" si="465"/>
        <v>-29997.112547000001</v>
      </c>
      <c r="DF229" s="102" t="e">
        <f ca="1">BE229+(SUM(CS218:CS229)/12)</f>
        <v>#N/A</v>
      </c>
      <c r="DG229" s="352"/>
      <c r="DH229" s="19">
        <f t="shared" si="590"/>
        <v>0</v>
      </c>
      <c r="DI229" s="125">
        <f t="shared" si="478"/>
        <v>20800</v>
      </c>
      <c r="DJ229" s="20">
        <f t="shared" si="591"/>
        <v>0</v>
      </c>
      <c r="DK229" s="129">
        <f>DK217</f>
        <v>7800</v>
      </c>
      <c r="DL229" s="20">
        <f t="shared" si="592"/>
        <v>650</v>
      </c>
      <c r="DM229" s="132">
        <f t="shared" si="593"/>
        <v>0</v>
      </c>
      <c r="DN229" s="27">
        <f>DN217</f>
        <v>3000</v>
      </c>
      <c r="DO229" s="132">
        <f t="shared" si="594"/>
        <v>250</v>
      </c>
      <c r="DP229" s="26">
        <f t="shared" si="595"/>
        <v>0</v>
      </c>
      <c r="DQ229" s="118">
        <f>DQ217</f>
        <v>10000</v>
      </c>
      <c r="DR229" s="118">
        <f>DR217</f>
        <v>600</v>
      </c>
    </row>
    <row r="230" spans="1:122" ht="15" customHeight="1" thickBot="1" x14ac:dyDescent="0.2">
      <c r="A230" s="415" t="s">
        <v>177</v>
      </c>
      <c r="B230" s="16">
        <v>50314</v>
      </c>
      <c r="C230" s="207">
        <f>'PV-Felder'!$I$11</f>
        <v>1416.7</v>
      </c>
      <c r="D230" s="358">
        <f>SUMIF(E230:E241,"&gt;0",C230:C241)</f>
        <v>0</v>
      </c>
      <c r="E230" s="61">
        <v>0</v>
      </c>
      <c r="F230" s="368">
        <f>SUM(E230:E241)</f>
        <v>0</v>
      </c>
      <c r="G230" s="58" t="e">
        <f t="shared" ca="1" si="509"/>
        <v>#N/A</v>
      </c>
      <c r="H230" s="358" t="e">
        <f ca="1">IF(TODAY()&lt;B230,#N/A,F230-D230)</f>
        <v>#N/A</v>
      </c>
      <c r="I230" s="61">
        <v>0</v>
      </c>
      <c r="J230" s="368">
        <f>SUM(I230:I241)</f>
        <v>0</v>
      </c>
      <c r="K230" s="61">
        <v>0</v>
      </c>
      <c r="L230" s="368">
        <f>SUM(K230:K241)</f>
        <v>0</v>
      </c>
      <c r="M230" s="66">
        <f t="shared" si="536"/>
        <v>0</v>
      </c>
      <c r="N230" s="372">
        <f>SUM(M230:M241)</f>
        <v>0</v>
      </c>
      <c r="Q230" s="287">
        <f t="shared" si="510"/>
        <v>0</v>
      </c>
      <c r="R230" s="333">
        <f>SUM(Q230:Q241)</f>
        <v>0</v>
      </c>
      <c r="S230" s="61">
        <v>0</v>
      </c>
      <c r="T230" s="375">
        <f>SUM(S230:S241)</f>
        <v>0</v>
      </c>
      <c r="U230" s="61">
        <v>0</v>
      </c>
      <c r="V230" s="341">
        <f>SUM(U230:U241)</f>
        <v>0</v>
      </c>
      <c r="W230" s="61">
        <v>0</v>
      </c>
      <c r="X230" s="341">
        <f>SUM(W230:W241)</f>
        <v>0</v>
      </c>
      <c r="Y230" s="211" t="e">
        <f t="shared" ref="Y230:Y293" si="612">IF(M230+S230+U230&gt;0,M230+S230+U230,#N/A)</f>
        <v>#N/A</v>
      </c>
      <c r="Z230" s="369">
        <f>N230+T230+V230</f>
        <v>0</v>
      </c>
      <c r="AA230" s="62">
        <v>0</v>
      </c>
      <c r="AB230" s="368">
        <f>SUM(AA230:AA241)</f>
        <v>0</v>
      </c>
      <c r="AC230" s="62">
        <v>0</v>
      </c>
      <c r="AD230" s="368">
        <f>SUM(AC230:AC241)</f>
        <v>0</v>
      </c>
      <c r="AE230" s="74" t="e">
        <f t="shared" si="472"/>
        <v>#N/A</v>
      </c>
      <c r="AF230" s="355" t="e">
        <f>IF(SUMIF(AE230:AE241,"&gt;0")&gt;0,SUMIF(AE230:AE241,"&gt;0")/COUNTIF(AE230:AE241,"&gt;0"),#N/A)</f>
        <v>#N/A</v>
      </c>
      <c r="AG230" s="73" t="e">
        <f t="shared" si="473"/>
        <v>#N/A</v>
      </c>
      <c r="AH230" s="355" t="e">
        <f>IF(SUMIF(AG230:AG241,"&gt;0")&gt;0,SUMIF(AG230:AG241,"&gt;0")/COUNTIF(AG230:AG241,"&gt;0"),#N/A)</f>
        <v>#N/A</v>
      </c>
      <c r="AI230" s="222">
        <f>AI229</f>
        <v>29.26</v>
      </c>
      <c r="AJ230" s="78">
        <f t="shared" ref="AJ230:AP230" si="613">AJ229</f>
        <v>0.26750000000000002</v>
      </c>
      <c r="AK230" s="79">
        <f t="shared" si="613"/>
        <v>9.9166666666666661</v>
      </c>
      <c r="AL230" s="80">
        <f t="shared" si="613"/>
        <v>187</v>
      </c>
      <c r="AM230" s="78">
        <f t="shared" si="613"/>
        <v>9.737942583732058E-2</v>
      </c>
      <c r="AN230" s="80">
        <f t="shared" si="613"/>
        <v>143</v>
      </c>
      <c r="AO230" s="78">
        <f t="shared" si="613"/>
        <v>0.21099999999999999</v>
      </c>
      <c r="AP230" s="88">
        <f t="shared" si="613"/>
        <v>12</v>
      </c>
      <c r="AQ230" s="64">
        <f t="shared" si="545"/>
        <v>21.5</v>
      </c>
      <c r="AR230" s="64">
        <f t="shared" si="546"/>
        <v>11.5</v>
      </c>
      <c r="AS230" s="88">
        <f t="shared" si="547"/>
        <v>1.1830000000000001</v>
      </c>
      <c r="AT230" s="91">
        <v>0</v>
      </c>
      <c r="AU230" s="94"/>
      <c r="AV230" s="95"/>
      <c r="AW230" s="56">
        <f t="shared" si="512"/>
        <v>0</v>
      </c>
      <c r="AX230" s="358">
        <f>SUM(AW230:AW241)</f>
        <v>0</v>
      </c>
      <c r="AY230" s="100">
        <f t="shared" si="551"/>
        <v>9.9166666666666661</v>
      </c>
      <c r="AZ230" s="359">
        <f>SUM(AY230:AY241)</f>
        <v>119.00000000000001</v>
      </c>
      <c r="BA230" s="103">
        <f>BA229-AY230</f>
        <v>-2196.1958803333373</v>
      </c>
      <c r="BB230" s="5">
        <f t="shared" si="475"/>
        <v>-9.9166666666666661</v>
      </c>
      <c r="BC230" s="362">
        <f>SUM(AY230:AY241)/12</f>
        <v>9.9166666666666679</v>
      </c>
      <c r="BD230" s="91" t="e">
        <f t="shared" ca="1" si="513"/>
        <v>#N/A</v>
      </c>
      <c r="BE230" s="91" t="e">
        <f t="shared" ca="1" si="514"/>
        <v>#N/A</v>
      </c>
      <c r="BF230" s="91">
        <f t="shared" si="515"/>
        <v>31.833333333333329</v>
      </c>
      <c r="BG230" s="91" t="e">
        <f t="shared" ca="1" si="516"/>
        <v>#N/A</v>
      </c>
      <c r="BH230" s="91" t="e">
        <f t="shared" ca="1" si="561"/>
        <v>#N/A</v>
      </c>
      <c r="BI230" s="10" t="e">
        <f t="shared" ca="1" si="539"/>
        <v>#N/A</v>
      </c>
      <c r="BJ230" s="104">
        <f>((M230+Q230)*AJ230+AK230)+((U230-W230+W230/('Vergleich Holz Strom'!$B$8-0.6))*AO230+AP230)</f>
        <v>21.916666666666664</v>
      </c>
      <c r="BK230" s="10" t="e">
        <f t="shared" ca="1" si="476"/>
        <v>#N/A</v>
      </c>
      <c r="BL230" s="378">
        <f ca="1">SUMIF(BK230:BK241,"&lt;&gt;#NV",BK230:BK241)</f>
        <v>0</v>
      </c>
      <c r="BM230" s="104" t="e">
        <f t="shared" ca="1" si="527"/>
        <v>#N/A</v>
      </c>
      <c r="BN230" s="40" t="e">
        <f ca="1">IF(ISNUMBER(BK230),BN229+SUMIF(BK230:BK241,"&lt;&gt;#NV",BK230:BK241)/COUNTIF(BK230:BK241,"&lt;&gt;#NV"),#N/A)</f>
        <v>#N/A</v>
      </c>
      <c r="BO230" s="10" t="e">
        <f t="shared" ca="1" si="610"/>
        <v>#N/A</v>
      </c>
      <c r="BP230" s="105" t="e">
        <f t="shared" ca="1" si="477"/>
        <v>#N/A</v>
      </c>
      <c r="BQ230" s="104">
        <f t="shared" ca="1" si="500"/>
        <v>-59150.303239456625</v>
      </c>
      <c r="BR230" s="10">
        <f t="shared" si="517"/>
        <v>9.9166666666666661</v>
      </c>
      <c r="BS230" s="311"/>
      <c r="BT230" s="307"/>
      <c r="BU230" s="295">
        <f t="shared" si="518"/>
        <v>0</v>
      </c>
      <c r="BV230" s="322">
        <f>SUM(BU230:BU241)</f>
        <v>0</v>
      </c>
      <c r="BW230" s="300">
        <f t="shared" si="519"/>
        <v>0</v>
      </c>
      <c r="BX230" s="305">
        <f t="shared" si="520"/>
        <v>0</v>
      </c>
      <c r="BY230" s="381">
        <f>SUM(BX230:BX241)</f>
        <v>0</v>
      </c>
      <c r="BZ230" s="300">
        <f t="shared" si="528"/>
        <v>0</v>
      </c>
      <c r="CA230" s="295">
        <f t="shared" si="540"/>
        <v>0</v>
      </c>
      <c r="CB230" s="322">
        <f>SUM(CA230:CA241)</f>
        <v>0</v>
      </c>
      <c r="CC230" s="314">
        <f t="shared" si="599"/>
        <v>0</v>
      </c>
      <c r="CD230" s="325">
        <f>SUM(CC230:CC241)</f>
        <v>0</v>
      </c>
      <c r="CE230" s="299">
        <f t="shared" si="521"/>
        <v>0</v>
      </c>
      <c r="CF230" s="284">
        <f t="shared" si="600"/>
        <v>0</v>
      </c>
      <c r="CG230" s="328">
        <f>SUM(CF230:CF241)</f>
        <v>0</v>
      </c>
      <c r="CH230" s="302">
        <f t="shared" si="558"/>
        <v>0</v>
      </c>
      <c r="CI230" s="108">
        <f t="shared" si="522"/>
        <v>0</v>
      </c>
      <c r="CJ230" s="201">
        <f t="shared" si="523"/>
        <v>0</v>
      </c>
      <c r="CK230" s="197">
        <f t="shared" si="549"/>
        <v>0</v>
      </c>
      <c r="CL230" s="203">
        <f t="shared" si="524"/>
        <v>12</v>
      </c>
      <c r="CM230" s="4">
        <f>U230*Jahresdaten!$AD$2</f>
        <v>0</v>
      </c>
      <c r="CN230" s="112">
        <f>CJ230*Jahresdaten!$AD$2</f>
        <v>0</v>
      </c>
      <c r="CO230" s="365">
        <f>CW230*Jahresdaten!$AD$2</f>
        <v>856.59076092206669</v>
      </c>
      <c r="CP230" s="116">
        <f>U230*Jahresdaten!$AD$3</f>
        <v>0</v>
      </c>
      <c r="CQ230" s="12">
        <f>CJ230*Jahresdaten!$AD$3</f>
        <v>0</v>
      </c>
      <c r="CR230" s="367">
        <f>CW230*Jahresdaten!$AD$3</f>
        <v>312.40923907793319</v>
      </c>
      <c r="CS230" s="14">
        <f>CS218</f>
        <v>1169</v>
      </c>
      <c r="CT230" s="136">
        <f>CT218</f>
        <v>12</v>
      </c>
      <c r="CU230" s="140">
        <f>IF(CT230=0,"",CT230*'Vergleich Holz Strom'!$B$2)</f>
        <v>25800</v>
      </c>
      <c r="CV230" s="120" t="s">
        <v>7</v>
      </c>
      <c r="CW230" s="365">
        <f>CV231+CV237</f>
        <v>1169</v>
      </c>
      <c r="CX230" s="344">
        <f>SUM(CS230:CS241)/SUM(CU230:CU241)*(SUM(CU230:CU241)+(V230*('Vergleich Holz Strom'!$B$8-0.6)/'Vergleich Holz Strom'!$E$6))</f>
        <v>1169</v>
      </c>
      <c r="CY230" s="344">
        <f>SUM(CU230:CU241)*'Vergleich Holz Strom'!$E$6/('Vergleich Holz Strom'!$B$8-0.6)*(SUM(AJ230:AJ241)/12)+CV231</f>
        <v>1420.8970588235295</v>
      </c>
      <c r="CZ230" s="344">
        <f>SUM(CU230:CU241)*'Vergleich Holz Strom'!$E$6/('Vergleich Holz Strom'!$B$8-0.6)*SUM(AM230:AM241)/12+SUM(CK230:CK241)</f>
        <v>517.25659724176774</v>
      </c>
      <c r="DA230" s="347">
        <f>SUM(CU230:CU241)*'Vergleich Holz Strom'!$E$6/('Vergleich Holz Strom'!$B$8-0.6)*(SUM(AO230:AO241)/12)+SUM(CL230:CL241)</f>
        <v>1264.7823529411764</v>
      </c>
      <c r="DB230" s="94"/>
      <c r="DC230" s="88">
        <f t="shared" si="453"/>
        <v>38444.594666666657</v>
      </c>
      <c r="DD230" s="94"/>
      <c r="DE230" s="88">
        <f t="shared" si="465"/>
        <v>-30140.112547000001</v>
      </c>
      <c r="DF230" s="100" t="e">
        <f ca="1">BE230+(SUM(CS230:CS241)/12)</f>
        <v>#N/A</v>
      </c>
      <c r="DG230" s="350">
        <f ca="1">SUMIF(DF230:DF241,"&gt;0")</f>
        <v>0</v>
      </c>
      <c r="DH230" s="8">
        <f>M230+S230+U230</f>
        <v>0</v>
      </c>
      <c r="DI230" s="123">
        <f t="shared" si="478"/>
        <v>1850</v>
      </c>
      <c r="DJ230" s="2">
        <f>M230</f>
        <v>0</v>
      </c>
      <c r="DK230" s="127">
        <f>DK241/12*1</f>
        <v>650</v>
      </c>
      <c r="DL230" s="2">
        <f>DL229</f>
        <v>650</v>
      </c>
      <c r="DM230" s="130">
        <f>S230</f>
        <v>0</v>
      </c>
      <c r="DN230" s="3">
        <f>DN241/12*1</f>
        <v>250</v>
      </c>
      <c r="DO230" s="130">
        <f>DO229</f>
        <v>250</v>
      </c>
      <c r="DP230" s="4">
        <f>U230</f>
        <v>0</v>
      </c>
      <c r="DQ230" s="116">
        <f>DR230</f>
        <v>950</v>
      </c>
      <c r="DR230" s="116">
        <f>DR218</f>
        <v>950</v>
      </c>
    </row>
    <row r="231" spans="1:122" ht="14.25" customHeight="1" thickBot="1" x14ac:dyDescent="0.2">
      <c r="A231" s="416"/>
      <c r="B231" s="16">
        <v>50345</v>
      </c>
      <c r="C231" s="207">
        <f>'PV-Felder'!$I$12</f>
        <v>739.6</v>
      </c>
      <c r="D231" s="351"/>
      <c r="E231" s="61">
        <v>0</v>
      </c>
      <c r="F231" s="351"/>
      <c r="G231" s="56" t="e">
        <f t="shared" ca="1" si="509"/>
        <v>#N/A</v>
      </c>
      <c r="H231" s="351"/>
      <c r="I231" s="61">
        <v>0</v>
      </c>
      <c r="J231" s="351"/>
      <c r="K231" s="61">
        <v>0</v>
      </c>
      <c r="L231" s="351"/>
      <c r="M231" s="65">
        <f t="shared" si="536"/>
        <v>0</v>
      </c>
      <c r="N231" s="373"/>
      <c r="O231" s="288"/>
      <c r="P231" s="288"/>
      <c r="Q231" s="286">
        <f t="shared" si="510"/>
        <v>0</v>
      </c>
      <c r="R231" s="334"/>
      <c r="S231" s="61">
        <v>0</v>
      </c>
      <c r="T231" s="376"/>
      <c r="U231" s="61">
        <v>0</v>
      </c>
      <c r="V231" s="342"/>
      <c r="W231" s="61">
        <v>0</v>
      </c>
      <c r="X231" s="342"/>
      <c r="Y231" s="211" t="e">
        <f t="shared" si="612"/>
        <v>#N/A</v>
      </c>
      <c r="Z231" s="370"/>
      <c r="AA231" s="61">
        <v>0</v>
      </c>
      <c r="AB231" s="351"/>
      <c r="AC231" s="61">
        <v>0</v>
      </c>
      <c r="AD231" s="351"/>
      <c r="AE231" s="73" t="e">
        <f t="shared" si="472"/>
        <v>#N/A</v>
      </c>
      <c r="AF231" s="356"/>
      <c r="AG231" s="73" t="e">
        <f t="shared" si="473"/>
        <v>#N/A</v>
      </c>
      <c r="AH231" s="356"/>
      <c r="AI231" s="221">
        <f>AI230</f>
        <v>29.26</v>
      </c>
      <c r="AJ231" s="78">
        <f t="shared" ref="AJ231:AN231" si="614">AJ230</f>
        <v>0.26750000000000002</v>
      </c>
      <c r="AK231" s="79">
        <f t="shared" si="614"/>
        <v>9.9166666666666661</v>
      </c>
      <c r="AL231" s="80">
        <f t="shared" si="614"/>
        <v>187</v>
      </c>
      <c r="AM231" s="78">
        <f t="shared" si="614"/>
        <v>9.737942583732058E-2</v>
      </c>
      <c r="AN231" s="80">
        <f t="shared" si="614"/>
        <v>143</v>
      </c>
      <c r="AO231" s="78">
        <f>AO230</f>
        <v>0.21099999999999999</v>
      </c>
      <c r="AP231" s="88">
        <f>AP230</f>
        <v>12</v>
      </c>
      <c r="AQ231" s="64">
        <f t="shared" si="545"/>
        <v>21.5</v>
      </c>
      <c r="AR231" s="64">
        <f t="shared" si="546"/>
        <v>11.5</v>
      </c>
      <c r="AS231" s="88">
        <f t="shared" si="547"/>
        <v>1.1830000000000001</v>
      </c>
      <c r="AT231" s="91">
        <v>0</v>
      </c>
      <c r="AU231" s="94"/>
      <c r="AV231" s="95"/>
      <c r="AW231" s="56">
        <f t="shared" si="512"/>
        <v>0</v>
      </c>
      <c r="AX231" s="351"/>
      <c r="AY231" s="100">
        <f t="shared" si="551"/>
        <v>9.9166666666666661</v>
      </c>
      <c r="AZ231" s="360"/>
      <c r="BA231" s="91">
        <f t="shared" ref="BA231:BA241" si="615">BA230-AY231</f>
        <v>-2206.1125470000038</v>
      </c>
      <c r="BB231" s="5">
        <f t="shared" si="475"/>
        <v>-9.9166666666666661</v>
      </c>
      <c r="BC231" s="363"/>
      <c r="BD231" s="91" t="e">
        <f t="shared" ca="1" si="513"/>
        <v>#N/A</v>
      </c>
      <c r="BE231" s="91" t="e">
        <f t="shared" ca="1" si="514"/>
        <v>#N/A</v>
      </c>
      <c r="BF231" s="91">
        <f t="shared" si="515"/>
        <v>31.833333333333329</v>
      </c>
      <c r="BG231" s="91" t="e">
        <f t="shared" ca="1" si="516"/>
        <v>#N/A</v>
      </c>
      <c r="BH231" s="91" t="e">
        <f t="shared" ca="1" si="561"/>
        <v>#N/A</v>
      </c>
      <c r="BI231" s="10" t="e">
        <f t="shared" ca="1" si="539"/>
        <v>#N/A</v>
      </c>
      <c r="BJ231" s="104">
        <f>((M231+Q231)*AJ231+AK231)+((U231-W231+W231/('Vergleich Holz Strom'!$B$8-0.6))*AO231+AP231)</f>
        <v>21.916666666666664</v>
      </c>
      <c r="BK231" s="10" t="e">
        <f t="shared" ca="1" si="476"/>
        <v>#N/A</v>
      </c>
      <c r="BL231" s="379"/>
      <c r="BM231" s="104" t="e">
        <f t="shared" ca="1" si="527"/>
        <v>#N/A</v>
      </c>
      <c r="BN231" s="40" t="e">
        <f ca="1">IF(ISNUMBER(BK231),BN230+SUMIF(BK230:BK241,"&lt;&gt;#NV",BK230:BK241)/COUNTIF(BK230:BK241,"&lt;&gt;#NV"),#N/A)</f>
        <v>#N/A</v>
      </c>
      <c r="BO231" s="10" t="e">
        <f t="shared" ca="1" si="610"/>
        <v>#N/A</v>
      </c>
      <c r="BP231" s="104" t="e">
        <f t="shared" ca="1" si="477"/>
        <v>#N/A</v>
      </c>
      <c r="BQ231" s="104">
        <f t="shared" ca="1" si="500"/>
        <v>-59138.303239456625</v>
      </c>
      <c r="BR231" s="10">
        <f t="shared" si="517"/>
        <v>9.9166666666666661</v>
      </c>
      <c r="BS231" s="311"/>
      <c r="BT231" s="307"/>
      <c r="BU231" s="295">
        <f t="shared" si="518"/>
        <v>0</v>
      </c>
      <c r="BV231" s="323"/>
      <c r="BW231" s="299">
        <f t="shared" si="519"/>
        <v>0</v>
      </c>
      <c r="BX231" s="295">
        <f t="shared" si="520"/>
        <v>0</v>
      </c>
      <c r="BY231" s="382"/>
      <c r="BZ231" s="299">
        <f t="shared" si="528"/>
        <v>0</v>
      </c>
      <c r="CA231" s="295">
        <f t="shared" si="540"/>
        <v>0</v>
      </c>
      <c r="CB231" s="323"/>
      <c r="CC231" s="314">
        <f>Q231/AQ231*100+BS231/AQ231*100</f>
        <v>0</v>
      </c>
      <c r="CD231" s="326"/>
      <c r="CE231" s="299">
        <f t="shared" si="521"/>
        <v>0</v>
      </c>
      <c r="CF231" s="284">
        <f>CE231-CA231</f>
        <v>0</v>
      </c>
      <c r="CG231" s="323"/>
      <c r="CH231" s="302">
        <f t="shared" si="558"/>
        <v>0</v>
      </c>
      <c r="CI231" s="108">
        <f t="shared" si="522"/>
        <v>0</v>
      </c>
      <c r="CJ231" s="200">
        <f t="shared" si="523"/>
        <v>0</v>
      </c>
      <c r="CK231" s="197">
        <f t="shared" si="549"/>
        <v>0</v>
      </c>
      <c r="CL231" s="203">
        <f t="shared" si="524"/>
        <v>12</v>
      </c>
      <c r="CM231" s="4">
        <f>U231*Jahresdaten!$AD$2</f>
        <v>0</v>
      </c>
      <c r="CN231" s="112">
        <f>CJ231*Jahresdaten!$AD$2</f>
        <v>0</v>
      </c>
      <c r="CO231" s="366"/>
      <c r="CP231" s="116">
        <f>U231*Jahresdaten!$AD$3</f>
        <v>0</v>
      </c>
      <c r="CQ231" s="12">
        <f>CJ231*Jahresdaten!$AD$3</f>
        <v>0</v>
      </c>
      <c r="CR231" s="353"/>
      <c r="CS231" s="14"/>
      <c r="CT231" s="136"/>
      <c r="CU231" s="140" t="str">
        <f>IF(CT231=0,"",CT231*'Vergleich Holz Strom'!$B$2)</f>
        <v/>
      </c>
      <c r="CV231" s="353">
        <f>SUM(CJ230:CJ241)</f>
        <v>0</v>
      </c>
      <c r="CW231" s="366"/>
      <c r="CX231" s="345"/>
      <c r="CY231" s="345"/>
      <c r="CZ231" s="345"/>
      <c r="DA231" s="348"/>
      <c r="DB231" s="94"/>
      <c r="DC231" s="88">
        <f t="shared" si="453"/>
        <v>38621.677999999993</v>
      </c>
      <c r="DD231" s="94"/>
      <c r="DE231" s="88">
        <f t="shared" si="465"/>
        <v>-30283.112547000001</v>
      </c>
      <c r="DF231" s="100" t="e">
        <f ca="1">BE231+(SUM(CS230:CS241)/12)</f>
        <v>#N/A</v>
      </c>
      <c r="DG231" s="351"/>
      <c r="DH231" s="8">
        <f t="shared" ref="DH231:DH241" si="616">DH230+M231+S231+U231</f>
        <v>0</v>
      </c>
      <c r="DI231" s="123">
        <f t="shared" si="478"/>
        <v>3550</v>
      </c>
      <c r="DJ231" s="2">
        <f t="shared" ref="DJ231:DJ241" si="617">DJ230+M231</f>
        <v>0</v>
      </c>
      <c r="DK231" s="127">
        <f>DK241/12*2</f>
        <v>1300</v>
      </c>
      <c r="DL231" s="2">
        <f t="shared" ref="DL231:DL294" si="618">DL230</f>
        <v>650</v>
      </c>
      <c r="DM231" s="130">
        <f t="shared" ref="DM231:DM241" si="619">DM230+S231</f>
        <v>0</v>
      </c>
      <c r="DN231" s="3">
        <f>DN241/12*2</f>
        <v>500</v>
      </c>
      <c r="DO231" s="130">
        <f t="shared" ref="DO231:DO294" si="620">DO230</f>
        <v>250</v>
      </c>
      <c r="DP231" s="4">
        <f t="shared" ref="DP231:DP241" si="621">DP230+U231</f>
        <v>0</v>
      </c>
      <c r="DQ231" s="116">
        <f t="shared" ref="DQ231:DQ240" si="622">DQ230+DR231</f>
        <v>1750</v>
      </c>
      <c r="DR231" s="116">
        <f>DR219</f>
        <v>800</v>
      </c>
    </row>
    <row r="232" spans="1:122" ht="14.25" customHeight="1" thickBot="1" x14ac:dyDescent="0.2">
      <c r="A232" s="416"/>
      <c r="B232" s="16">
        <v>50375</v>
      </c>
      <c r="C232" s="207">
        <f>'PV-Felder'!$I$13</f>
        <v>559.9</v>
      </c>
      <c r="D232" s="351"/>
      <c r="E232" s="61">
        <v>0</v>
      </c>
      <c r="F232" s="351"/>
      <c r="G232" s="56" t="e">
        <f t="shared" ca="1" si="509"/>
        <v>#N/A</v>
      </c>
      <c r="H232" s="351"/>
      <c r="I232" s="61">
        <v>0</v>
      </c>
      <c r="J232" s="351"/>
      <c r="K232" s="61">
        <v>0</v>
      </c>
      <c r="L232" s="351"/>
      <c r="M232" s="65">
        <f t="shared" si="536"/>
        <v>0</v>
      </c>
      <c r="N232" s="373"/>
      <c r="O232" s="288"/>
      <c r="P232" s="288"/>
      <c r="Q232" s="286">
        <f t="shared" si="510"/>
        <v>0</v>
      </c>
      <c r="R232" s="334"/>
      <c r="S232" s="61">
        <v>0</v>
      </c>
      <c r="T232" s="376"/>
      <c r="U232" s="61">
        <v>0</v>
      </c>
      <c r="V232" s="342"/>
      <c r="W232" s="61">
        <v>0</v>
      </c>
      <c r="X232" s="342"/>
      <c r="Y232" s="211" t="e">
        <f t="shared" si="612"/>
        <v>#N/A</v>
      </c>
      <c r="Z232" s="370"/>
      <c r="AA232" s="61">
        <v>0</v>
      </c>
      <c r="AB232" s="351"/>
      <c r="AC232" s="61">
        <v>0</v>
      </c>
      <c r="AD232" s="351"/>
      <c r="AE232" s="73" t="e">
        <f t="shared" si="472"/>
        <v>#N/A</v>
      </c>
      <c r="AF232" s="356"/>
      <c r="AG232" s="73" t="e">
        <f t="shared" si="473"/>
        <v>#N/A</v>
      </c>
      <c r="AH232" s="356"/>
      <c r="AI232" s="221">
        <f t="shared" ref="AI232:AI240" si="623">AI231</f>
        <v>29.26</v>
      </c>
      <c r="AJ232" s="78">
        <f t="shared" ref="AJ232:AN232" si="624">AJ231</f>
        <v>0.26750000000000002</v>
      </c>
      <c r="AK232" s="79">
        <f t="shared" si="624"/>
        <v>9.9166666666666661</v>
      </c>
      <c r="AL232" s="80">
        <f t="shared" si="624"/>
        <v>187</v>
      </c>
      <c r="AM232" s="78">
        <f t="shared" si="624"/>
        <v>9.737942583732058E-2</v>
      </c>
      <c r="AN232" s="80">
        <f t="shared" si="624"/>
        <v>143</v>
      </c>
      <c r="AO232" s="78">
        <f>AO231</f>
        <v>0.21099999999999999</v>
      </c>
      <c r="AP232" s="88">
        <f>AP231</f>
        <v>12</v>
      </c>
      <c r="AQ232" s="64">
        <f t="shared" si="545"/>
        <v>21.5</v>
      </c>
      <c r="AR232" s="64">
        <f t="shared" si="546"/>
        <v>11.5</v>
      </c>
      <c r="AS232" s="88">
        <f t="shared" si="547"/>
        <v>1.1830000000000001</v>
      </c>
      <c r="AT232" s="91">
        <f t="shared" ref="AT232:AT263" si="625">AT231</f>
        <v>0</v>
      </c>
      <c r="AU232" s="94"/>
      <c r="AV232" s="95"/>
      <c r="AW232" s="56">
        <f t="shared" si="512"/>
        <v>0</v>
      </c>
      <c r="AX232" s="351"/>
      <c r="AY232" s="100">
        <f t="shared" si="551"/>
        <v>9.9166666666666661</v>
      </c>
      <c r="AZ232" s="360"/>
      <c r="BA232" s="91">
        <f t="shared" si="615"/>
        <v>-2216.0292136666703</v>
      </c>
      <c r="BB232" s="5">
        <f t="shared" si="475"/>
        <v>-9.9166666666666661</v>
      </c>
      <c r="BC232" s="363"/>
      <c r="BD232" s="91" t="e">
        <f t="shared" ca="1" si="513"/>
        <v>#N/A</v>
      </c>
      <c r="BE232" s="91" t="e">
        <f t="shared" ca="1" si="514"/>
        <v>#N/A</v>
      </c>
      <c r="BF232" s="91">
        <f t="shared" si="515"/>
        <v>31.833333333333329</v>
      </c>
      <c r="BG232" s="91" t="e">
        <f t="shared" ca="1" si="516"/>
        <v>#N/A</v>
      </c>
      <c r="BH232" s="91" t="e">
        <f t="shared" ca="1" si="561"/>
        <v>#N/A</v>
      </c>
      <c r="BI232" s="10" t="e">
        <f t="shared" ca="1" si="539"/>
        <v>#N/A</v>
      </c>
      <c r="BJ232" s="104">
        <f>((M232+Q232)*AJ232+AK232)+((U232-W232+W232/('Vergleich Holz Strom'!$B$8-0.6))*AO232+AP232)</f>
        <v>21.916666666666664</v>
      </c>
      <c r="BK232" s="10" t="e">
        <f t="shared" ca="1" si="476"/>
        <v>#N/A</v>
      </c>
      <c r="BL232" s="379"/>
      <c r="BM232" s="104" t="e">
        <f t="shared" ca="1" si="527"/>
        <v>#N/A</v>
      </c>
      <c r="BN232" s="40" t="e">
        <f ca="1">IF(ISNUMBER(BK232),BN231+SUMIF(BK230:BK241,"&lt;&gt;#NV",BK230:BK241)/COUNTIF(BK230:BK241,"&lt;&gt;#NV"),#N/A)</f>
        <v>#N/A</v>
      </c>
      <c r="BO232" s="10" t="e">
        <f t="shared" ca="1" si="610"/>
        <v>#N/A</v>
      </c>
      <c r="BP232" s="104" t="e">
        <f t="shared" ca="1" si="477"/>
        <v>#N/A</v>
      </c>
      <c r="BQ232" s="104">
        <f t="shared" ca="1" si="500"/>
        <v>-59126.303239456625</v>
      </c>
      <c r="BR232" s="10">
        <f t="shared" si="517"/>
        <v>9.9166666666666661</v>
      </c>
      <c r="BS232" s="311"/>
      <c r="BT232" s="307"/>
      <c r="BU232" s="295">
        <f t="shared" si="518"/>
        <v>0</v>
      </c>
      <c r="BV232" s="323"/>
      <c r="BW232" s="299">
        <f t="shared" si="519"/>
        <v>0</v>
      </c>
      <c r="BX232" s="295">
        <f t="shared" si="520"/>
        <v>0</v>
      </c>
      <c r="BY232" s="382"/>
      <c r="BZ232" s="299">
        <f t="shared" si="528"/>
        <v>0</v>
      </c>
      <c r="CA232" s="295">
        <f t="shared" si="540"/>
        <v>0</v>
      </c>
      <c r="CB232" s="323"/>
      <c r="CC232" s="314">
        <f t="shared" ref="CC232:CC242" si="626">Q232/AQ232*100+BS232/AQ232*100</f>
        <v>0</v>
      </c>
      <c r="CD232" s="326"/>
      <c r="CE232" s="299">
        <f t="shared" si="521"/>
        <v>0</v>
      </c>
      <c r="CF232" s="284">
        <f t="shared" ref="CF232:CF242" si="627">CE232-CA232</f>
        <v>0</v>
      </c>
      <c r="CG232" s="323"/>
      <c r="CH232" s="302">
        <f t="shared" si="558"/>
        <v>0</v>
      </c>
      <c r="CI232" s="108">
        <f t="shared" si="522"/>
        <v>0</v>
      </c>
      <c r="CJ232" s="200">
        <f t="shared" si="523"/>
        <v>0</v>
      </c>
      <c r="CK232" s="197">
        <f t="shared" si="549"/>
        <v>0</v>
      </c>
      <c r="CL232" s="203">
        <f t="shared" si="524"/>
        <v>12</v>
      </c>
      <c r="CM232" s="4">
        <f>U232*Jahresdaten!$AD$2</f>
        <v>0</v>
      </c>
      <c r="CN232" s="112">
        <f>CJ232*Jahresdaten!$AD$2</f>
        <v>0</v>
      </c>
      <c r="CO232" s="366"/>
      <c r="CP232" s="116">
        <f>U232*Jahresdaten!$AD$3</f>
        <v>0</v>
      </c>
      <c r="CQ232" s="12">
        <f>CJ232*Jahresdaten!$AD$3</f>
        <v>0</v>
      </c>
      <c r="CR232" s="353"/>
      <c r="CS232" s="14"/>
      <c r="CT232" s="136"/>
      <c r="CU232" s="140" t="str">
        <f>IF(CT232=0,"",CT232*'Vergleich Holz Strom'!$B$2)</f>
        <v/>
      </c>
      <c r="CV232" s="353"/>
      <c r="CW232" s="366"/>
      <c r="CX232" s="345"/>
      <c r="CY232" s="345"/>
      <c r="CZ232" s="345"/>
      <c r="DA232" s="348"/>
      <c r="DB232" s="94"/>
      <c r="DC232" s="88">
        <f t="shared" si="453"/>
        <v>38798.761333333328</v>
      </c>
      <c r="DD232" s="94"/>
      <c r="DE232" s="88">
        <f t="shared" si="465"/>
        <v>-30426.112547000001</v>
      </c>
      <c r="DF232" s="100" t="e">
        <f ca="1">BE232+(SUM(CS230:CS241)/12)</f>
        <v>#N/A</v>
      </c>
      <c r="DG232" s="351"/>
      <c r="DH232" s="8">
        <f t="shared" si="616"/>
        <v>0</v>
      </c>
      <c r="DI232" s="123">
        <f t="shared" si="478"/>
        <v>5300</v>
      </c>
      <c r="DJ232" s="2">
        <f t="shared" si="617"/>
        <v>0</v>
      </c>
      <c r="DK232" s="127">
        <f>DK241/12*3</f>
        <v>1950</v>
      </c>
      <c r="DL232" s="2">
        <f t="shared" si="618"/>
        <v>650</v>
      </c>
      <c r="DM232" s="130">
        <f t="shared" si="619"/>
        <v>0</v>
      </c>
      <c r="DN232" s="3">
        <f>DN241/12*3</f>
        <v>750</v>
      </c>
      <c r="DO232" s="130">
        <f t="shared" si="620"/>
        <v>250</v>
      </c>
      <c r="DP232" s="4">
        <f t="shared" si="621"/>
        <v>0</v>
      </c>
      <c r="DQ232" s="116">
        <f t="shared" si="622"/>
        <v>2600</v>
      </c>
      <c r="DR232" s="116">
        <f t="shared" ref="DR232:DR240" si="628">DR220</f>
        <v>850.00000000000011</v>
      </c>
    </row>
    <row r="233" spans="1:122" ht="14.25" customHeight="1" thickBot="1" x14ac:dyDescent="0.2">
      <c r="A233" s="416"/>
      <c r="B233" s="16">
        <v>50406</v>
      </c>
      <c r="C233" s="207">
        <f>'PV-Felder'!$I$2</f>
        <v>660.80000000000007</v>
      </c>
      <c r="D233" s="351"/>
      <c r="E233" s="61">
        <v>0</v>
      </c>
      <c r="F233" s="351"/>
      <c r="G233" s="56" t="e">
        <f t="shared" ca="1" si="509"/>
        <v>#N/A</v>
      </c>
      <c r="H233" s="351"/>
      <c r="I233" s="61">
        <v>0</v>
      </c>
      <c r="J233" s="351"/>
      <c r="K233" s="61">
        <v>0</v>
      </c>
      <c r="L233" s="351"/>
      <c r="M233" s="65">
        <f t="shared" si="536"/>
        <v>0</v>
      </c>
      <c r="N233" s="373"/>
      <c r="O233" s="288"/>
      <c r="P233" s="288"/>
      <c r="Q233" s="286">
        <f t="shared" si="510"/>
        <v>0</v>
      </c>
      <c r="R233" s="334"/>
      <c r="S233" s="61">
        <v>0</v>
      </c>
      <c r="T233" s="376"/>
      <c r="U233" s="61">
        <v>0</v>
      </c>
      <c r="V233" s="342"/>
      <c r="W233" s="61">
        <v>0</v>
      </c>
      <c r="X233" s="342"/>
      <c r="Y233" s="211" t="e">
        <f t="shared" si="612"/>
        <v>#N/A</v>
      </c>
      <c r="Z233" s="370"/>
      <c r="AA233" s="61">
        <v>0</v>
      </c>
      <c r="AB233" s="351"/>
      <c r="AC233" s="61">
        <v>0</v>
      </c>
      <c r="AD233" s="351"/>
      <c r="AE233" s="73" t="e">
        <f t="shared" si="472"/>
        <v>#N/A</v>
      </c>
      <c r="AF233" s="356"/>
      <c r="AG233" s="73" t="e">
        <f t="shared" si="473"/>
        <v>#N/A</v>
      </c>
      <c r="AH233" s="356"/>
      <c r="AI233" s="221">
        <f t="shared" si="623"/>
        <v>29.26</v>
      </c>
      <c r="AJ233" s="78">
        <f t="shared" ref="AJ233:AP233" si="629">AJ232</f>
        <v>0.26750000000000002</v>
      </c>
      <c r="AK233" s="79">
        <f t="shared" si="629"/>
        <v>9.9166666666666661</v>
      </c>
      <c r="AL233" s="80">
        <f t="shared" si="629"/>
        <v>187</v>
      </c>
      <c r="AM233" s="78">
        <f t="shared" si="629"/>
        <v>9.737942583732058E-2</v>
      </c>
      <c r="AN233" s="80">
        <f t="shared" si="629"/>
        <v>143</v>
      </c>
      <c r="AO233" s="78">
        <f t="shared" si="629"/>
        <v>0.21099999999999999</v>
      </c>
      <c r="AP233" s="88">
        <f t="shared" si="629"/>
        <v>12</v>
      </c>
      <c r="AQ233" s="64">
        <f t="shared" si="545"/>
        <v>21.5</v>
      </c>
      <c r="AR233" s="64">
        <f t="shared" si="546"/>
        <v>11.5</v>
      </c>
      <c r="AS233" s="88">
        <f t="shared" si="547"/>
        <v>1.1830000000000001</v>
      </c>
      <c r="AT233" s="91">
        <f t="shared" si="625"/>
        <v>0</v>
      </c>
      <c r="AU233" s="94"/>
      <c r="AV233" s="95"/>
      <c r="AW233" s="56">
        <f t="shared" si="512"/>
        <v>0</v>
      </c>
      <c r="AX233" s="351"/>
      <c r="AY233" s="100">
        <f t="shared" si="551"/>
        <v>9.9166666666666661</v>
      </c>
      <c r="AZ233" s="360"/>
      <c r="BA233" s="91">
        <f t="shared" si="615"/>
        <v>-2225.9458803333368</v>
      </c>
      <c r="BB233" s="5">
        <f t="shared" si="475"/>
        <v>-9.9166666666666661</v>
      </c>
      <c r="BC233" s="363"/>
      <c r="BD233" s="91" t="e">
        <f t="shared" ca="1" si="513"/>
        <v>#N/A</v>
      </c>
      <c r="BE233" s="91" t="e">
        <f t="shared" ca="1" si="514"/>
        <v>#N/A</v>
      </c>
      <c r="BF233" s="91">
        <f t="shared" si="515"/>
        <v>31.833333333333329</v>
      </c>
      <c r="BG233" s="91" t="e">
        <f t="shared" ca="1" si="516"/>
        <v>#N/A</v>
      </c>
      <c r="BH233" s="91" t="e">
        <f t="shared" ca="1" si="561"/>
        <v>#N/A</v>
      </c>
      <c r="BI233" s="10" t="e">
        <f t="shared" ca="1" si="539"/>
        <v>#N/A</v>
      </c>
      <c r="BJ233" s="104">
        <f>((M233+Q233)*AJ233+AK233)+((U233-W233+W233/('Vergleich Holz Strom'!$B$8-0.6))*AO233+AP233)</f>
        <v>21.916666666666664</v>
      </c>
      <c r="BK233" s="10" t="e">
        <f t="shared" ca="1" si="476"/>
        <v>#N/A</v>
      </c>
      <c r="BL233" s="379"/>
      <c r="BM233" s="104" t="e">
        <f t="shared" ca="1" si="527"/>
        <v>#N/A</v>
      </c>
      <c r="BN233" s="40" t="e">
        <f ca="1">IF(ISNUMBER(BK233),BN232+SUMIF(BK230:BK241,"&lt;&gt;#NV",BK230:BK241)/COUNTIF(BK230:BK241,"&lt;&gt;#NV"),#N/A)</f>
        <v>#N/A</v>
      </c>
      <c r="BO233" s="10" t="e">
        <f t="shared" ca="1" si="610"/>
        <v>#N/A</v>
      </c>
      <c r="BP233" s="104" t="e">
        <f t="shared" ca="1" si="477"/>
        <v>#N/A</v>
      </c>
      <c r="BQ233" s="104">
        <f t="shared" ca="1" si="500"/>
        <v>-59114.303239456625</v>
      </c>
      <c r="BR233" s="10">
        <f t="shared" si="517"/>
        <v>9.9166666666666661</v>
      </c>
      <c r="BS233" s="311"/>
      <c r="BT233" s="307"/>
      <c r="BU233" s="295">
        <f t="shared" si="518"/>
        <v>0</v>
      </c>
      <c r="BV233" s="323"/>
      <c r="BW233" s="299">
        <f t="shared" si="519"/>
        <v>0</v>
      </c>
      <c r="BX233" s="295">
        <f t="shared" si="520"/>
        <v>0</v>
      </c>
      <c r="BY233" s="382"/>
      <c r="BZ233" s="299">
        <f t="shared" si="528"/>
        <v>0</v>
      </c>
      <c r="CA233" s="295">
        <f t="shared" si="540"/>
        <v>0</v>
      </c>
      <c r="CB233" s="323"/>
      <c r="CC233" s="314">
        <f t="shared" si="626"/>
        <v>0</v>
      </c>
      <c r="CD233" s="326"/>
      <c r="CE233" s="299">
        <f t="shared" si="521"/>
        <v>0</v>
      </c>
      <c r="CF233" s="284">
        <f t="shared" si="627"/>
        <v>0</v>
      </c>
      <c r="CG233" s="323"/>
      <c r="CH233" s="302">
        <f t="shared" si="558"/>
        <v>0</v>
      </c>
      <c r="CI233" s="108">
        <f t="shared" si="522"/>
        <v>0</v>
      </c>
      <c r="CJ233" s="200">
        <f t="shared" si="523"/>
        <v>0</v>
      </c>
      <c r="CK233" s="197">
        <f t="shared" si="549"/>
        <v>0</v>
      </c>
      <c r="CL233" s="203">
        <f t="shared" si="524"/>
        <v>12</v>
      </c>
      <c r="CM233" s="4">
        <f>U233*Jahresdaten!$AD$2</f>
        <v>0</v>
      </c>
      <c r="CN233" s="112">
        <f>CJ233*Jahresdaten!$AD$2</f>
        <v>0</v>
      </c>
      <c r="CO233" s="366"/>
      <c r="CP233" s="116">
        <f>U233*Jahresdaten!$AD$3</f>
        <v>0</v>
      </c>
      <c r="CQ233" s="12">
        <f>CJ233*Jahresdaten!$AD$3</f>
        <v>0</v>
      </c>
      <c r="CR233" s="353"/>
      <c r="CS233" s="14"/>
      <c r="CT233" s="136"/>
      <c r="CU233" s="140" t="str">
        <f>IF(CT233=0,"",CT233*'Vergleich Holz Strom'!$B$2)</f>
        <v/>
      </c>
      <c r="CV233" s="353"/>
      <c r="CW233" s="366"/>
      <c r="CX233" s="345"/>
      <c r="CY233" s="345"/>
      <c r="CZ233" s="345"/>
      <c r="DA233" s="348"/>
      <c r="DB233" s="94"/>
      <c r="DC233" s="88">
        <f t="shared" si="453"/>
        <v>38975.844666666664</v>
      </c>
      <c r="DD233" s="94"/>
      <c r="DE233" s="88">
        <f t="shared" si="465"/>
        <v>-30569.112547000001</v>
      </c>
      <c r="DF233" s="100" t="e">
        <f ca="1">BE233+(SUM(CS230:CS241)/12)</f>
        <v>#N/A</v>
      </c>
      <c r="DG233" s="351"/>
      <c r="DH233" s="8">
        <f t="shared" si="616"/>
        <v>0</v>
      </c>
      <c r="DI233" s="123">
        <f t="shared" si="478"/>
        <v>7350</v>
      </c>
      <c r="DJ233" s="2">
        <f t="shared" si="617"/>
        <v>0</v>
      </c>
      <c r="DK233" s="127">
        <f>DK241/12*4</f>
        <v>2600</v>
      </c>
      <c r="DL233" s="2">
        <f t="shared" si="618"/>
        <v>650</v>
      </c>
      <c r="DM233" s="130">
        <f t="shared" si="619"/>
        <v>0</v>
      </c>
      <c r="DN233" s="3">
        <f>DN241/12*4</f>
        <v>1000</v>
      </c>
      <c r="DO233" s="130">
        <f t="shared" si="620"/>
        <v>250</v>
      </c>
      <c r="DP233" s="4">
        <f t="shared" si="621"/>
        <v>0</v>
      </c>
      <c r="DQ233" s="116">
        <f t="shared" si="622"/>
        <v>3750</v>
      </c>
      <c r="DR233" s="116">
        <f t="shared" si="628"/>
        <v>1150</v>
      </c>
    </row>
    <row r="234" spans="1:122" ht="14.25" customHeight="1" thickBot="1" x14ac:dyDescent="0.2">
      <c r="A234" s="416"/>
      <c r="B234" s="16">
        <v>50437</v>
      </c>
      <c r="C234" s="207">
        <f>'PV-Felder'!$I$3</f>
        <v>922.2</v>
      </c>
      <c r="D234" s="351"/>
      <c r="E234" s="61">
        <v>0</v>
      </c>
      <c r="F234" s="351"/>
      <c r="G234" s="56" t="e">
        <f t="shared" ca="1" si="509"/>
        <v>#N/A</v>
      </c>
      <c r="H234" s="351"/>
      <c r="I234" s="61">
        <v>0</v>
      </c>
      <c r="J234" s="351"/>
      <c r="K234" s="61">
        <v>0</v>
      </c>
      <c r="L234" s="351"/>
      <c r="M234" s="65">
        <f t="shared" si="536"/>
        <v>0</v>
      </c>
      <c r="N234" s="373"/>
      <c r="O234" s="288"/>
      <c r="P234" s="288"/>
      <c r="Q234" s="286">
        <f t="shared" si="510"/>
        <v>0</v>
      </c>
      <c r="R234" s="334"/>
      <c r="S234" s="61">
        <v>0</v>
      </c>
      <c r="T234" s="376"/>
      <c r="U234" s="61">
        <v>0</v>
      </c>
      <c r="V234" s="342"/>
      <c r="W234" s="61">
        <v>0</v>
      </c>
      <c r="X234" s="342"/>
      <c r="Y234" s="211" t="e">
        <f t="shared" si="612"/>
        <v>#N/A</v>
      </c>
      <c r="Z234" s="370"/>
      <c r="AA234" s="61">
        <v>0</v>
      </c>
      <c r="AB234" s="351"/>
      <c r="AC234" s="61">
        <v>0</v>
      </c>
      <c r="AD234" s="351"/>
      <c r="AE234" s="73" t="e">
        <f t="shared" si="472"/>
        <v>#N/A</v>
      </c>
      <c r="AF234" s="356"/>
      <c r="AG234" s="73" t="e">
        <f t="shared" si="473"/>
        <v>#N/A</v>
      </c>
      <c r="AH234" s="356"/>
      <c r="AI234" s="221">
        <f t="shared" si="623"/>
        <v>29.26</v>
      </c>
      <c r="AJ234" s="78">
        <f t="shared" ref="AJ234:AP234" si="630">AJ233</f>
        <v>0.26750000000000002</v>
      </c>
      <c r="AK234" s="79">
        <f t="shared" si="630"/>
        <v>9.9166666666666661</v>
      </c>
      <c r="AL234" s="80">
        <f t="shared" si="630"/>
        <v>187</v>
      </c>
      <c r="AM234" s="78">
        <f t="shared" si="630"/>
        <v>9.737942583732058E-2</v>
      </c>
      <c r="AN234" s="80">
        <f t="shared" si="630"/>
        <v>143</v>
      </c>
      <c r="AO234" s="78">
        <f t="shared" si="630"/>
        <v>0.21099999999999999</v>
      </c>
      <c r="AP234" s="88">
        <f t="shared" si="630"/>
        <v>12</v>
      </c>
      <c r="AQ234" s="64">
        <f t="shared" si="545"/>
        <v>21.5</v>
      </c>
      <c r="AR234" s="64">
        <f t="shared" si="546"/>
        <v>11.5</v>
      </c>
      <c r="AS234" s="88">
        <f t="shared" si="547"/>
        <v>1.1830000000000001</v>
      </c>
      <c r="AT234" s="91">
        <f t="shared" si="625"/>
        <v>0</v>
      </c>
      <c r="AU234" s="94"/>
      <c r="AV234" s="95"/>
      <c r="AW234" s="56">
        <f t="shared" si="512"/>
        <v>0</v>
      </c>
      <c r="AX234" s="351"/>
      <c r="AY234" s="100">
        <f t="shared" si="551"/>
        <v>9.9166666666666661</v>
      </c>
      <c r="AZ234" s="360"/>
      <c r="BA234" s="91">
        <f t="shared" si="615"/>
        <v>-2235.8625470000034</v>
      </c>
      <c r="BB234" s="5">
        <f t="shared" si="475"/>
        <v>-9.9166666666666661</v>
      </c>
      <c r="BC234" s="363"/>
      <c r="BD234" s="91" t="e">
        <f t="shared" ca="1" si="513"/>
        <v>#N/A</v>
      </c>
      <c r="BE234" s="91" t="e">
        <f t="shared" ca="1" si="514"/>
        <v>#N/A</v>
      </c>
      <c r="BF234" s="91">
        <f t="shared" si="515"/>
        <v>31.833333333333329</v>
      </c>
      <c r="BG234" s="91" t="e">
        <f t="shared" ca="1" si="516"/>
        <v>#N/A</v>
      </c>
      <c r="BH234" s="91" t="e">
        <f t="shared" ca="1" si="561"/>
        <v>#N/A</v>
      </c>
      <c r="BI234" s="10" t="e">
        <f t="shared" ca="1" si="539"/>
        <v>#N/A</v>
      </c>
      <c r="BJ234" s="104">
        <f>((M234+Q234)*AJ234+AK234)+((U234-W234+W234/('Vergleich Holz Strom'!$B$8-0.6))*AO234+AP234)</f>
        <v>21.916666666666664</v>
      </c>
      <c r="BK234" s="10" t="e">
        <f t="shared" ca="1" si="476"/>
        <v>#N/A</v>
      </c>
      <c r="BL234" s="379"/>
      <c r="BM234" s="104" t="e">
        <f t="shared" ca="1" si="527"/>
        <v>#N/A</v>
      </c>
      <c r="BN234" s="40" t="e">
        <f ca="1">IF(ISNUMBER(BK234),BN233+SUMIF(BK230:BK241,"&lt;&gt;#NV",BK230:BK241)/COUNTIF(BK230:BK241,"&lt;&gt;#NV"),#N/A)</f>
        <v>#N/A</v>
      </c>
      <c r="BO234" s="10" t="e">
        <f t="shared" ca="1" si="610"/>
        <v>#N/A</v>
      </c>
      <c r="BP234" s="104" t="e">
        <f t="shared" ca="1" si="477"/>
        <v>#N/A</v>
      </c>
      <c r="BQ234" s="104">
        <f t="shared" ca="1" si="500"/>
        <v>-59095.103239456628</v>
      </c>
      <c r="BR234" s="10">
        <f t="shared" si="517"/>
        <v>9.9166666666666661</v>
      </c>
      <c r="BS234" s="311"/>
      <c r="BT234" s="307"/>
      <c r="BU234" s="295">
        <f t="shared" si="518"/>
        <v>0</v>
      </c>
      <c r="BV234" s="323"/>
      <c r="BW234" s="299">
        <f t="shared" si="519"/>
        <v>0</v>
      </c>
      <c r="BX234" s="295">
        <f t="shared" si="520"/>
        <v>0</v>
      </c>
      <c r="BY234" s="382"/>
      <c r="BZ234" s="299">
        <f t="shared" si="528"/>
        <v>0</v>
      </c>
      <c r="CA234" s="295">
        <f t="shared" si="540"/>
        <v>0</v>
      </c>
      <c r="CB234" s="323"/>
      <c r="CC234" s="314">
        <f t="shared" si="626"/>
        <v>0</v>
      </c>
      <c r="CD234" s="326"/>
      <c r="CE234" s="299">
        <f t="shared" si="521"/>
        <v>0</v>
      </c>
      <c r="CF234" s="284">
        <f t="shared" si="627"/>
        <v>0</v>
      </c>
      <c r="CG234" s="323"/>
      <c r="CH234" s="302">
        <f t="shared" si="558"/>
        <v>0</v>
      </c>
      <c r="CI234" s="108">
        <f t="shared" si="522"/>
        <v>0</v>
      </c>
      <c r="CJ234" s="200">
        <f t="shared" si="523"/>
        <v>0</v>
      </c>
      <c r="CK234" s="197">
        <f t="shared" si="549"/>
        <v>0</v>
      </c>
      <c r="CL234" s="203">
        <f t="shared" si="524"/>
        <v>12</v>
      </c>
      <c r="CM234" s="4">
        <f>U234*Jahresdaten!$AD$2</f>
        <v>0</v>
      </c>
      <c r="CN234" s="112">
        <f>CJ234*Jahresdaten!$AD$2</f>
        <v>0</v>
      </c>
      <c r="CO234" s="366"/>
      <c r="CP234" s="116">
        <f>U234*Jahresdaten!$AD$3</f>
        <v>0</v>
      </c>
      <c r="CQ234" s="12">
        <f>CJ234*Jahresdaten!$AD$3</f>
        <v>0</v>
      </c>
      <c r="CR234" s="353"/>
      <c r="CS234" s="14"/>
      <c r="CT234" s="136"/>
      <c r="CU234" s="140" t="str">
        <f>IF(CT234=0,"",CT234*'Vergleich Holz Strom'!$B$2)</f>
        <v/>
      </c>
      <c r="CV234" s="353"/>
      <c r="CW234" s="366"/>
      <c r="CX234" s="345"/>
      <c r="CY234" s="345"/>
      <c r="CZ234" s="345"/>
      <c r="DA234" s="348"/>
      <c r="DB234" s="94"/>
      <c r="DC234" s="88">
        <f t="shared" si="453"/>
        <v>39152.928</v>
      </c>
      <c r="DD234" s="94"/>
      <c r="DE234" s="88">
        <f t="shared" si="465"/>
        <v>-30712.112547000001</v>
      </c>
      <c r="DF234" s="100" t="e">
        <f ca="1">BE234+(SUM(CS230:CS241)/12)</f>
        <v>#N/A</v>
      </c>
      <c r="DG234" s="351"/>
      <c r="DH234" s="8">
        <f t="shared" si="616"/>
        <v>0</v>
      </c>
      <c r="DI234" s="123">
        <f t="shared" si="478"/>
        <v>9600</v>
      </c>
      <c r="DJ234" s="2">
        <f t="shared" si="617"/>
        <v>0</v>
      </c>
      <c r="DK234" s="127">
        <f>DK241/12*5</f>
        <v>3250</v>
      </c>
      <c r="DL234" s="2">
        <f t="shared" si="618"/>
        <v>650</v>
      </c>
      <c r="DM234" s="130">
        <f t="shared" si="619"/>
        <v>0</v>
      </c>
      <c r="DN234" s="3">
        <f>DN241/12*5</f>
        <v>1250</v>
      </c>
      <c r="DO234" s="130">
        <f t="shared" si="620"/>
        <v>250</v>
      </c>
      <c r="DP234" s="4">
        <f t="shared" si="621"/>
        <v>0</v>
      </c>
      <c r="DQ234" s="116">
        <f t="shared" si="622"/>
        <v>5100</v>
      </c>
      <c r="DR234" s="116">
        <f t="shared" si="628"/>
        <v>1350</v>
      </c>
    </row>
    <row r="235" spans="1:122" ht="14.25" customHeight="1" thickBot="1" x14ac:dyDescent="0.2">
      <c r="A235" s="416"/>
      <c r="B235" s="16">
        <v>50465</v>
      </c>
      <c r="C235" s="207">
        <f>'PV-Felder'!$I$4</f>
        <v>1860</v>
      </c>
      <c r="D235" s="351"/>
      <c r="E235" s="61">
        <v>0</v>
      </c>
      <c r="F235" s="351"/>
      <c r="G235" s="56" t="e">
        <f t="shared" ca="1" si="509"/>
        <v>#N/A</v>
      </c>
      <c r="H235" s="351"/>
      <c r="I235" s="61">
        <v>0</v>
      </c>
      <c r="J235" s="351"/>
      <c r="K235" s="61">
        <v>0</v>
      </c>
      <c r="L235" s="351"/>
      <c r="M235" s="65">
        <f t="shared" si="536"/>
        <v>0</v>
      </c>
      <c r="N235" s="373"/>
      <c r="O235" s="288"/>
      <c r="P235" s="288"/>
      <c r="Q235" s="286">
        <f t="shared" si="510"/>
        <v>0</v>
      </c>
      <c r="R235" s="334"/>
      <c r="S235" s="61">
        <v>0</v>
      </c>
      <c r="T235" s="376"/>
      <c r="U235" s="61">
        <v>0</v>
      </c>
      <c r="V235" s="342"/>
      <c r="W235" s="61">
        <v>0</v>
      </c>
      <c r="X235" s="342"/>
      <c r="Y235" s="211" t="e">
        <f t="shared" si="612"/>
        <v>#N/A</v>
      </c>
      <c r="Z235" s="370"/>
      <c r="AA235" s="61">
        <v>0</v>
      </c>
      <c r="AB235" s="351"/>
      <c r="AC235" s="61">
        <v>0</v>
      </c>
      <c r="AD235" s="351"/>
      <c r="AE235" s="73" t="e">
        <f t="shared" si="472"/>
        <v>#N/A</v>
      </c>
      <c r="AF235" s="356"/>
      <c r="AG235" s="73" t="e">
        <f t="shared" si="473"/>
        <v>#N/A</v>
      </c>
      <c r="AH235" s="356"/>
      <c r="AI235" s="221">
        <f t="shared" si="623"/>
        <v>29.26</v>
      </c>
      <c r="AJ235" s="78">
        <f t="shared" ref="AJ235:AP235" si="631">AJ234</f>
        <v>0.26750000000000002</v>
      </c>
      <c r="AK235" s="79">
        <f t="shared" si="631"/>
        <v>9.9166666666666661</v>
      </c>
      <c r="AL235" s="80">
        <f t="shared" si="631"/>
        <v>187</v>
      </c>
      <c r="AM235" s="78">
        <f t="shared" si="631"/>
        <v>9.737942583732058E-2</v>
      </c>
      <c r="AN235" s="80">
        <f t="shared" si="631"/>
        <v>143</v>
      </c>
      <c r="AO235" s="78">
        <f t="shared" si="631"/>
        <v>0.21099999999999999</v>
      </c>
      <c r="AP235" s="88">
        <f t="shared" si="631"/>
        <v>12</v>
      </c>
      <c r="AQ235" s="64">
        <f t="shared" si="545"/>
        <v>21.5</v>
      </c>
      <c r="AR235" s="64">
        <f t="shared" si="546"/>
        <v>11.5</v>
      </c>
      <c r="AS235" s="88">
        <f t="shared" si="547"/>
        <v>1.1830000000000001</v>
      </c>
      <c r="AT235" s="91">
        <f t="shared" si="625"/>
        <v>0</v>
      </c>
      <c r="AU235" s="94"/>
      <c r="AV235" s="95"/>
      <c r="AW235" s="56">
        <f t="shared" si="512"/>
        <v>0</v>
      </c>
      <c r="AX235" s="351"/>
      <c r="AY235" s="100">
        <f t="shared" si="551"/>
        <v>9.9166666666666661</v>
      </c>
      <c r="AZ235" s="360"/>
      <c r="BA235" s="91">
        <f t="shared" si="615"/>
        <v>-2245.7792136666699</v>
      </c>
      <c r="BB235" s="5">
        <f t="shared" si="475"/>
        <v>-9.9166666666666661</v>
      </c>
      <c r="BC235" s="363"/>
      <c r="BD235" s="91" t="e">
        <f t="shared" ca="1" si="513"/>
        <v>#N/A</v>
      </c>
      <c r="BE235" s="91" t="e">
        <f t="shared" ca="1" si="514"/>
        <v>#N/A</v>
      </c>
      <c r="BF235" s="91">
        <f t="shared" si="515"/>
        <v>31.833333333333329</v>
      </c>
      <c r="BG235" s="91" t="e">
        <f t="shared" ca="1" si="516"/>
        <v>#N/A</v>
      </c>
      <c r="BH235" s="91" t="e">
        <f t="shared" ca="1" si="561"/>
        <v>#N/A</v>
      </c>
      <c r="BI235" s="10" t="e">
        <f t="shared" ca="1" si="539"/>
        <v>#N/A</v>
      </c>
      <c r="BJ235" s="104">
        <f>((M235+Q235)*AJ235+AK235)+((U235-W235+W235/('Vergleich Holz Strom'!$B$8-0.6))*AO235+AP235)</f>
        <v>21.916666666666664</v>
      </c>
      <c r="BK235" s="10" t="e">
        <f t="shared" ca="1" si="476"/>
        <v>#N/A</v>
      </c>
      <c r="BL235" s="379"/>
      <c r="BM235" s="104" t="e">
        <f t="shared" ca="1" si="527"/>
        <v>#N/A</v>
      </c>
      <c r="BN235" s="40" t="e">
        <f ca="1">IF(ISNUMBER(BK235),BN234+SUMIF(BK230:BK241,"&lt;&gt;#NV",BK230:BK241)/COUNTIF(BK230:BK241,"&lt;&gt;#NV"),#N/A)</f>
        <v>#N/A</v>
      </c>
      <c r="BO235" s="10" t="e">
        <f t="shared" ca="1" si="610"/>
        <v>#N/A</v>
      </c>
      <c r="BP235" s="104" t="e">
        <f t="shared" ca="1" si="477"/>
        <v>#N/A</v>
      </c>
      <c r="BQ235" s="104">
        <f t="shared" ca="1" si="500"/>
        <v>-59075.903239456631</v>
      </c>
      <c r="BR235" s="10">
        <f t="shared" si="517"/>
        <v>9.9166666666666661</v>
      </c>
      <c r="BS235" s="311"/>
      <c r="BT235" s="307"/>
      <c r="BU235" s="295">
        <f t="shared" si="518"/>
        <v>0</v>
      </c>
      <c r="BV235" s="323"/>
      <c r="BW235" s="299">
        <f t="shared" si="519"/>
        <v>0</v>
      </c>
      <c r="BX235" s="295">
        <f t="shared" si="520"/>
        <v>0</v>
      </c>
      <c r="BY235" s="382"/>
      <c r="BZ235" s="299">
        <f t="shared" si="528"/>
        <v>0</v>
      </c>
      <c r="CA235" s="295">
        <f t="shared" si="540"/>
        <v>0</v>
      </c>
      <c r="CB235" s="323"/>
      <c r="CC235" s="314">
        <f t="shared" si="626"/>
        <v>0</v>
      </c>
      <c r="CD235" s="326"/>
      <c r="CE235" s="299">
        <f t="shared" si="521"/>
        <v>0</v>
      </c>
      <c r="CF235" s="284">
        <f t="shared" si="627"/>
        <v>0</v>
      </c>
      <c r="CG235" s="323"/>
      <c r="CH235" s="302">
        <f t="shared" si="558"/>
        <v>0</v>
      </c>
      <c r="CI235" s="108">
        <f t="shared" si="522"/>
        <v>0</v>
      </c>
      <c r="CJ235" s="200">
        <f t="shared" si="523"/>
        <v>0</v>
      </c>
      <c r="CK235" s="197">
        <f t="shared" si="549"/>
        <v>0</v>
      </c>
      <c r="CL235" s="203">
        <f t="shared" si="524"/>
        <v>12</v>
      </c>
      <c r="CM235" s="4">
        <f>U235*Jahresdaten!$AD$2</f>
        <v>0</v>
      </c>
      <c r="CN235" s="112">
        <f>CJ235*Jahresdaten!$AD$2</f>
        <v>0</v>
      </c>
      <c r="CO235" s="366"/>
      <c r="CP235" s="116">
        <f>U235*Jahresdaten!$AD$3</f>
        <v>0</v>
      </c>
      <c r="CQ235" s="12">
        <f>CJ235*Jahresdaten!$AD$3</f>
        <v>0</v>
      </c>
      <c r="CR235" s="353"/>
      <c r="CS235" s="14"/>
      <c r="CT235" s="136"/>
      <c r="CU235" s="140" t="str">
        <f>IF(CT235=0,"",CT235*'Vergleich Holz Strom'!$B$2)</f>
        <v/>
      </c>
      <c r="CV235" s="353"/>
      <c r="CW235" s="366"/>
      <c r="CX235" s="345"/>
      <c r="CY235" s="345"/>
      <c r="CZ235" s="345"/>
      <c r="DA235" s="348"/>
      <c r="DB235" s="94"/>
      <c r="DC235" s="88">
        <f t="shared" ref="DC235:DC298" si="632">DC234+AL235-(AA235*AJ235+AK235)-DB235</f>
        <v>39330.011333333336</v>
      </c>
      <c r="DD235" s="94"/>
      <c r="DE235" s="88">
        <f t="shared" si="465"/>
        <v>-30855.112547000001</v>
      </c>
      <c r="DF235" s="100" t="e">
        <f ca="1">BE235+(SUM(CS230:CS241)/12)</f>
        <v>#N/A</v>
      </c>
      <c r="DG235" s="351"/>
      <c r="DH235" s="8">
        <f t="shared" si="616"/>
        <v>0</v>
      </c>
      <c r="DI235" s="123">
        <f t="shared" si="478"/>
        <v>11850</v>
      </c>
      <c r="DJ235" s="2">
        <f t="shared" si="617"/>
        <v>0</v>
      </c>
      <c r="DK235" s="127">
        <f>DK241/12*6</f>
        <v>3900</v>
      </c>
      <c r="DL235" s="2">
        <f t="shared" si="618"/>
        <v>650</v>
      </c>
      <c r="DM235" s="130">
        <f t="shared" si="619"/>
        <v>0</v>
      </c>
      <c r="DN235" s="3">
        <f>DN241/12*6</f>
        <v>1500</v>
      </c>
      <c r="DO235" s="130">
        <f t="shared" si="620"/>
        <v>250</v>
      </c>
      <c r="DP235" s="4">
        <f t="shared" si="621"/>
        <v>0</v>
      </c>
      <c r="DQ235" s="116">
        <f t="shared" si="622"/>
        <v>6450</v>
      </c>
      <c r="DR235" s="116">
        <f t="shared" si="628"/>
        <v>1350</v>
      </c>
    </row>
    <row r="236" spans="1:122" ht="15" customHeight="1" thickBot="1" x14ac:dyDescent="0.2">
      <c r="A236" s="416"/>
      <c r="B236" s="16">
        <v>50496</v>
      </c>
      <c r="C236" s="207">
        <f>'PV-Felder'!$I$5</f>
        <v>2887.3</v>
      </c>
      <c r="D236" s="351"/>
      <c r="E236" s="61">
        <v>0</v>
      </c>
      <c r="F236" s="351"/>
      <c r="G236" s="56" t="e">
        <f t="shared" ca="1" si="509"/>
        <v>#N/A</v>
      </c>
      <c r="H236" s="351"/>
      <c r="I236" s="61">
        <v>0</v>
      </c>
      <c r="J236" s="351"/>
      <c r="K236" s="61">
        <v>0</v>
      </c>
      <c r="L236" s="351"/>
      <c r="M236" s="65">
        <f t="shared" si="536"/>
        <v>0</v>
      </c>
      <c r="N236" s="373"/>
      <c r="O236" s="288"/>
      <c r="P236" s="288"/>
      <c r="Q236" s="286">
        <f t="shared" si="510"/>
        <v>0</v>
      </c>
      <c r="R236" s="334"/>
      <c r="S236" s="61">
        <v>0</v>
      </c>
      <c r="T236" s="376"/>
      <c r="U236" s="61">
        <v>0</v>
      </c>
      <c r="V236" s="342"/>
      <c r="W236" s="61">
        <v>0</v>
      </c>
      <c r="X236" s="342"/>
      <c r="Y236" s="211" t="e">
        <f t="shared" si="612"/>
        <v>#N/A</v>
      </c>
      <c r="Z236" s="370"/>
      <c r="AA236" s="61">
        <v>0</v>
      </c>
      <c r="AB236" s="351"/>
      <c r="AC236" s="61">
        <v>0</v>
      </c>
      <c r="AD236" s="351"/>
      <c r="AE236" s="73" t="e">
        <f t="shared" si="472"/>
        <v>#N/A</v>
      </c>
      <c r="AF236" s="356"/>
      <c r="AG236" s="73" t="e">
        <f t="shared" si="473"/>
        <v>#N/A</v>
      </c>
      <c r="AH236" s="356"/>
      <c r="AI236" s="221">
        <f t="shared" si="623"/>
        <v>29.26</v>
      </c>
      <c r="AJ236" s="78">
        <f t="shared" ref="AJ236:AP236" si="633">AJ235</f>
        <v>0.26750000000000002</v>
      </c>
      <c r="AK236" s="79">
        <f t="shared" si="633"/>
        <v>9.9166666666666661</v>
      </c>
      <c r="AL236" s="80">
        <f t="shared" si="633"/>
        <v>187</v>
      </c>
      <c r="AM236" s="78">
        <f t="shared" si="633"/>
        <v>9.737942583732058E-2</v>
      </c>
      <c r="AN236" s="80">
        <f t="shared" si="633"/>
        <v>143</v>
      </c>
      <c r="AO236" s="78">
        <f t="shared" si="633"/>
        <v>0.21099999999999999</v>
      </c>
      <c r="AP236" s="88">
        <f t="shared" si="633"/>
        <v>12</v>
      </c>
      <c r="AQ236" s="64">
        <f t="shared" si="545"/>
        <v>21.5</v>
      </c>
      <c r="AR236" s="64">
        <f t="shared" si="546"/>
        <v>11.5</v>
      </c>
      <c r="AS236" s="88">
        <f t="shared" si="547"/>
        <v>1.1830000000000001</v>
      </c>
      <c r="AT236" s="91">
        <f t="shared" si="625"/>
        <v>0</v>
      </c>
      <c r="AU236" s="94"/>
      <c r="AV236" s="95"/>
      <c r="AW236" s="56">
        <f t="shared" si="512"/>
        <v>0</v>
      </c>
      <c r="AX236" s="351"/>
      <c r="AY236" s="100">
        <f t="shared" si="551"/>
        <v>9.9166666666666661</v>
      </c>
      <c r="AZ236" s="360"/>
      <c r="BA236" s="91">
        <f t="shared" si="615"/>
        <v>-2255.6958803333364</v>
      </c>
      <c r="BB236" s="5">
        <f t="shared" si="475"/>
        <v>-9.9166666666666661</v>
      </c>
      <c r="BC236" s="363"/>
      <c r="BD236" s="91" t="e">
        <f t="shared" ca="1" si="513"/>
        <v>#N/A</v>
      </c>
      <c r="BE236" s="91" t="e">
        <f t="shared" ca="1" si="514"/>
        <v>#N/A</v>
      </c>
      <c r="BF236" s="91">
        <f t="shared" si="515"/>
        <v>31.833333333333329</v>
      </c>
      <c r="BG236" s="91" t="e">
        <f t="shared" ca="1" si="516"/>
        <v>#N/A</v>
      </c>
      <c r="BH236" s="91" t="e">
        <f t="shared" ca="1" si="561"/>
        <v>#N/A</v>
      </c>
      <c r="BI236" s="10" t="e">
        <f t="shared" ca="1" si="539"/>
        <v>#N/A</v>
      </c>
      <c r="BJ236" s="104">
        <f>((M236+Q236)*AJ236+AK236)+((U236-W236+W236/('Vergleich Holz Strom'!$B$8-0.6))*AO236+AP236)</f>
        <v>21.916666666666664</v>
      </c>
      <c r="BK236" s="10" t="e">
        <f t="shared" ca="1" si="476"/>
        <v>#N/A</v>
      </c>
      <c r="BL236" s="379"/>
      <c r="BM236" s="104" t="e">
        <f t="shared" ca="1" si="527"/>
        <v>#N/A</v>
      </c>
      <c r="BN236" s="40" t="e">
        <f ca="1">IF(ISNUMBER(BK236),BN235+SUMIF(BK230:BK241,"&lt;&gt;#NV",BK230:BK241)/COUNTIF(BK230:BK241,"&lt;&gt;#NV"),#N/A)</f>
        <v>#N/A</v>
      </c>
      <c r="BO236" s="10" t="e">
        <f t="shared" ca="1" si="610"/>
        <v>#N/A</v>
      </c>
      <c r="BP236" s="104" t="e">
        <f t="shared" ca="1" si="477"/>
        <v>#N/A</v>
      </c>
      <c r="BQ236" s="104">
        <f t="shared" ca="1" si="500"/>
        <v>-59056.703239456605</v>
      </c>
      <c r="BR236" s="10">
        <f t="shared" si="517"/>
        <v>9.9166666666666661</v>
      </c>
      <c r="BS236" s="311"/>
      <c r="BT236" s="307"/>
      <c r="BU236" s="295">
        <f t="shared" si="518"/>
        <v>0</v>
      </c>
      <c r="BV236" s="323"/>
      <c r="BW236" s="299">
        <f t="shared" si="519"/>
        <v>0</v>
      </c>
      <c r="BX236" s="295">
        <f t="shared" si="520"/>
        <v>0</v>
      </c>
      <c r="BY236" s="382"/>
      <c r="BZ236" s="299">
        <f t="shared" si="528"/>
        <v>0</v>
      </c>
      <c r="CA236" s="295">
        <f t="shared" si="540"/>
        <v>0</v>
      </c>
      <c r="CB236" s="323"/>
      <c r="CC236" s="314">
        <f t="shared" si="626"/>
        <v>0</v>
      </c>
      <c r="CD236" s="326"/>
      <c r="CE236" s="299">
        <f t="shared" si="521"/>
        <v>0</v>
      </c>
      <c r="CF236" s="284">
        <f t="shared" si="627"/>
        <v>0</v>
      </c>
      <c r="CG236" s="323"/>
      <c r="CH236" s="302">
        <f t="shared" si="558"/>
        <v>0</v>
      </c>
      <c r="CI236" s="108">
        <f t="shared" si="522"/>
        <v>0</v>
      </c>
      <c r="CJ236" s="200">
        <f t="shared" si="523"/>
        <v>0</v>
      </c>
      <c r="CK236" s="197">
        <f t="shared" si="549"/>
        <v>0</v>
      </c>
      <c r="CL236" s="203">
        <f t="shared" si="524"/>
        <v>12</v>
      </c>
      <c r="CM236" s="4">
        <f>U236*Jahresdaten!$AD$2</f>
        <v>0</v>
      </c>
      <c r="CN236" s="112">
        <f>CJ236*Jahresdaten!$AD$2</f>
        <v>0</v>
      </c>
      <c r="CO236" s="366"/>
      <c r="CP236" s="116">
        <f>U236*Jahresdaten!$AD$3</f>
        <v>0</v>
      </c>
      <c r="CQ236" s="12">
        <f>CJ236*Jahresdaten!$AD$3</f>
        <v>0</v>
      </c>
      <c r="CR236" s="353"/>
      <c r="CS236" s="14"/>
      <c r="CT236" s="136"/>
      <c r="CU236" s="140" t="str">
        <f>IF(CT236=0,"",CT236*'Vergleich Holz Strom'!$B$2)</f>
        <v/>
      </c>
      <c r="CV236" s="121" t="s">
        <v>6</v>
      </c>
      <c r="CW236" s="366"/>
      <c r="CX236" s="345"/>
      <c r="CY236" s="345"/>
      <c r="CZ236" s="345"/>
      <c r="DA236" s="348"/>
      <c r="DB236" s="94"/>
      <c r="DC236" s="88">
        <f t="shared" si="632"/>
        <v>39507.094666666671</v>
      </c>
      <c r="DD236" s="94"/>
      <c r="DE236" s="88">
        <f t="shared" ref="DE236:DE299" si="634">DE235+(AC236*AM236-AN236)-DD236</f>
        <v>-30998.112547000001</v>
      </c>
      <c r="DF236" s="100" t="e">
        <f ca="1">BE236+(SUM(CS230:CS241)/12)</f>
        <v>#N/A</v>
      </c>
      <c r="DG236" s="351"/>
      <c r="DH236" s="8">
        <f t="shared" si="616"/>
        <v>0</v>
      </c>
      <c r="DI236" s="123">
        <f t="shared" si="478"/>
        <v>14000</v>
      </c>
      <c r="DJ236" s="2">
        <f t="shared" si="617"/>
        <v>0</v>
      </c>
      <c r="DK236" s="127">
        <f>DK241/12*7</f>
        <v>4550</v>
      </c>
      <c r="DL236" s="2">
        <f t="shared" si="618"/>
        <v>650</v>
      </c>
      <c r="DM236" s="130">
        <f t="shared" si="619"/>
        <v>0</v>
      </c>
      <c r="DN236" s="3">
        <f>DN241/12*7</f>
        <v>1750</v>
      </c>
      <c r="DO236" s="130">
        <f t="shared" si="620"/>
        <v>250</v>
      </c>
      <c r="DP236" s="4">
        <f t="shared" si="621"/>
        <v>0</v>
      </c>
      <c r="DQ236" s="116">
        <f t="shared" si="622"/>
        <v>7700</v>
      </c>
      <c r="DR236" s="116">
        <f t="shared" si="628"/>
        <v>1250</v>
      </c>
    </row>
    <row r="237" spans="1:122" ht="14.25" customHeight="1" thickBot="1" x14ac:dyDescent="0.2">
      <c r="A237" s="416"/>
      <c r="B237" s="16">
        <v>50526</v>
      </c>
      <c r="C237" s="207">
        <f>'PV-Felder'!$I$6</f>
        <v>3391.3999999999996</v>
      </c>
      <c r="D237" s="351"/>
      <c r="E237" s="61">
        <v>0</v>
      </c>
      <c r="F237" s="351"/>
      <c r="G237" s="56" t="e">
        <f t="shared" ca="1" si="509"/>
        <v>#N/A</v>
      </c>
      <c r="H237" s="351"/>
      <c r="I237" s="61">
        <v>0</v>
      </c>
      <c r="J237" s="351"/>
      <c r="K237" s="61">
        <v>0</v>
      </c>
      <c r="L237" s="351"/>
      <c r="M237" s="65">
        <f t="shared" si="536"/>
        <v>0</v>
      </c>
      <c r="N237" s="373"/>
      <c r="O237" s="288"/>
      <c r="P237" s="288"/>
      <c r="Q237" s="286">
        <f t="shared" si="510"/>
        <v>0</v>
      </c>
      <c r="R237" s="334"/>
      <c r="S237" s="61">
        <v>0</v>
      </c>
      <c r="T237" s="376"/>
      <c r="U237" s="61">
        <v>0</v>
      </c>
      <c r="V237" s="342"/>
      <c r="W237" s="61">
        <v>0</v>
      </c>
      <c r="X237" s="342"/>
      <c r="Y237" s="211" t="e">
        <f t="shared" si="612"/>
        <v>#N/A</v>
      </c>
      <c r="Z237" s="370"/>
      <c r="AA237" s="61">
        <v>0</v>
      </c>
      <c r="AB237" s="351"/>
      <c r="AC237" s="61">
        <v>0</v>
      </c>
      <c r="AD237" s="351"/>
      <c r="AE237" s="73" t="e">
        <f t="shared" si="472"/>
        <v>#N/A</v>
      </c>
      <c r="AF237" s="356"/>
      <c r="AG237" s="73" t="e">
        <f t="shared" si="473"/>
        <v>#N/A</v>
      </c>
      <c r="AH237" s="356"/>
      <c r="AI237" s="221">
        <f t="shared" si="623"/>
        <v>29.26</v>
      </c>
      <c r="AJ237" s="78">
        <f t="shared" ref="AJ237:AP237" si="635">AJ236</f>
        <v>0.26750000000000002</v>
      </c>
      <c r="AK237" s="79">
        <f t="shared" si="635"/>
        <v>9.9166666666666661</v>
      </c>
      <c r="AL237" s="80">
        <f t="shared" si="635"/>
        <v>187</v>
      </c>
      <c r="AM237" s="78">
        <f t="shared" si="635"/>
        <v>9.737942583732058E-2</v>
      </c>
      <c r="AN237" s="80">
        <f t="shared" si="635"/>
        <v>143</v>
      </c>
      <c r="AO237" s="78">
        <f t="shared" si="635"/>
        <v>0.21099999999999999</v>
      </c>
      <c r="AP237" s="88">
        <f t="shared" si="635"/>
        <v>12</v>
      </c>
      <c r="AQ237" s="64">
        <f t="shared" si="545"/>
        <v>21.5</v>
      </c>
      <c r="AR237" s="64">
        <f t="shared" si="546"/>
        <v>11.5</v>
      </c>
      <c r="AS237" s="88">
        <f t="shared" si="547"/>
        <v>1.1830000000000001</v>
      </c>
      <c r="AT237" s="91">
        <f t="shared" si="625"/>
        <v>0</v>
      </c>
      <c r="AU237" s="94"/>
      <c r="AV237" s="95"/>
      <c r="AW237" s="56">
        <f t="shared" si="512"/>
        <v>0</v>
      </c>
      <c r="AX237" s="351"/>
      <c r="AY237" s="100">
        <f t="shared" si="551"/>
        <v>9.9166666666666661</v>
      </c>
      <c r="AZ237" s="360"/>
      <c r="BA237" s="91">
        <f t="shared" si="615"/>
        <v>-2265.6125470000029</v>
      </c>
      <c r="BB237" s="5">
        <f t="shared" si="475"/>
        <v>-9.9166666666666661</v>
      </c>
      <c r="BC237" s="363"/>
      <c r="BD237" s="91" t="e">
        <f t="shared" ca="1" si="513"/>
        <v>#N/A</v>
      </c>
      <c r="BE237" s="91" t="e">
        <f t="shared" ca="1" si="514"/>
        <v>#N/A</v>
      </c>
      <c r="BF237" s="91">
        <f t="shared" si="515"/>
        <v>31.833333333333329</v>
      </c>
      <c r="BG237" s="91" t="e">
        <f t="shared" ca="1" si="516"/>
        <v>#N/A</v>
      </c>
      <c r="BH237" s="91" t="e">
        <f t="shared" ca="1" si="561"/>
        <v>#N/A</v>
      </c>
      <c r="BI237" s="10" t="e">
        <f t="shared" ca="1" si="539"/>
        <v>#N/A</v>
      </c>
      <c r="BJ237" s="104">
        <f>((M237+Q237)*AJ237+AK237)+((U237-W237+W237/('Vergleich Holz Strom'!$B$8-0.6))*AO237+AP237)</f>
        <v>21.916666666666664</v>
      </c>
      <c r="BK237" s="10" t="e">
        <f t="shared" ca="1" si="476"/>
        <v>#N/A</v>
      </c>
      <c r="BL237" s="379"/>
      <c r="BM237" s="104" t="e">
        <f t="shared" ca="1" si="527"/>
        <v>#N/A</v>
      </c>
      <c r="BN237" s="40" t="e">
        <f ca="1">IF(ISNUMBER(BK237),BN236+SUMIF(BK230:BK241,"&lt;&gt;#NV",BK230:BK241)/COUNTIF(BK230:BK241,"&lt;&gt;#NV"),#N/A)</f>
        <v>#N/A</v>
      </c>
      <c r="BO237" s="10" t="e">
        <f t="shared" ca="1" si="610"/>
        <v>#N/A</v>
      </c>
      <c r="BP237" s="104" t="e">
        <f t="shared" ca="1" si="477"/>
        <v>#N/A</v>
      </c>
      <c r="BQ237" s="104">
        <f t="shared" ca="1" si="500"/>
        <v>-59037.503239456593</v>
      </c>
      <c r="BR237" s="10">
        <f t="shared" si="517"/>
        <v>9.9166666666666661</v>
      </c>
      <c r="BS237" s="311"/>
      <c r="BT237" s="307"/>
      <c r="BU237" s="295">
        <f t="shared" si="518"/>
        <v>0</v>
      </c>
      <c r="BV237" s="323"/>
      <c r="BW237" s="299">
        <f t="shared" si="519"/>
        <v>0</v>
      </c>
      <c r="BX237" s="295">
        <f t="shared" si="520"/>
        <v>0</v>
      </c>
      <c r="BY237" s="382"/>
      <c r="BZ237" s="299">
        <f t="shared" si="528"/>
        <v>0</v>
      </c>
      <c r="CA237" s="295">
        <f t="shared" si="540"/>
        <v>0</v>
      </c>
      <c r="CB237" s="323"/>
      <c r="CC237" s="314">
        <f t="shared" si="626"/>
        <v>0</v>
      </c>
      <c r="CD237" s="326"/>
      <c r="CE237" s="299">
        <f t="shared" si="521"/>
        <v>0</v>
      </c>
      <c r="CF237" s="284">
        <f t="shared" si="627"/>
        <v>0</v>
      </c>
      <c r="CG237" s="323"/>
      <c r="CH237" s="302">
        <f t="shared" si="558"/>
        <v>0</v>
      </c>
      <c r="CI237" s="108">
        <f t="shared" si="522"/>
        <v>0</v>
      </c>
      <c r="CJ237" s="200">
        <f t="shared" si="523"/>
        <v>0</v>
      </c>
      <c r="CK237" s="197">
        <f t="shared" si="549"/>
        <v>0</v>
      </c>
      <c r="CL237" s="203">
        <f t="shared" si="524"/>
        <v>12</v>
      </c>
      <c r="CM237" s="4">
        <f>U237*Jahresdaten!$AD$2</f>
        <v>0</v>
      </c>
      <c r="CN237" s="112">
        <f>CJ237*Jahresdaten!$AD$2</f>
        <v>0</v>
      </c>
      <c r="CO237" s="366"/>
      <c r="CP237" s="116">
        <f>U237*Jahresdaten!$AD$3</f>
        <v>0</v>
      </c>
      <c r="CQ237" s="12">
        <f>CJ237*Jahresdaten!$AD$3</f>
        <v>0</v>
      </c>
      <c r="CR237" s="353"/>
      <c r="CS237" s="14"/>
      <c r="CT237" s="136"/>
      <c r="CU237" s="140" t="str">
        <f>IF(CT237=0,"",CT237*'Vergleich Holz Strom'!$B$2)</f>
        <v/>
      </c>
      <c r="CV237" s="353">
        <f>SUM(CS230:CS241)</f>
        <v>1169</v>
      </c>
      <c r="CW237" s="366"/>
      <c r="CX237" s="345"/>
      <c r="CY237" s="345"/>
      <c r="CZ237" s="345"/>
      <c r="DA237" s="348"/>
      <c r="DB237" s="94"/>
      <c r="DC237" s="88">
        <f t="shared" si="632"/>
        <v>39684.178000000007</v>
      </c>
      <c r="DD237" s="94"/>
      <c r="DE237" s="88">
        <f t="shared" si="634"/>
        <v>-31141.112547000001</v>
      </c>
      <c r="DF237" s="100" t="e">
        <f ca="1">BE237+(SUM(CS230:CS241)/12)</f>
        <v>#N/A</v>
      </c>
      <c r="DG237" s="351"/>
      <c r="DH237" s="8">
        <f t="shared" si="616"/>
        <v>0</v>
      </c>
      <c r="DI237" s="123">
        <f t="shared" si="478"/>
        <v>16000</v>
      </c>
      <c r="DJ237" s="2">
        <f t="shared" si="617"/>
        <v>0</v>
      </c>
      <c r="DK237" s="127">
        <f>DK241/12*8</f>
        <v>5200</v>
      </c>
      <c r="DL237" s="2">
        <f t="shared" si="618"/>
        <v>650</v>
      </c>
      <c r="DM237" s="130">
        <f t="shared" si="619"/>
        <v>0</v>
      </c>
      <c r="DN237" s="3">
        <f>DN241/12*8</f>
        <v>2000</v>
      </c>
      <c r="DO237" s="130">
        <f t="shared" si="620"/>
        <v>250</v>
      </c>
      <c r="DP237" s="4">
        <f t="shared" si="621"/>
        <v>0</v>
      </c>
      <c r="DQ237" s="116">
        <f t="shared" si="622"/>
        <v>8800</v>
      </c>
      <c r="DR237" s="116">
        <f t="shared" si="628"/>
        <v>1100</v>
      </c>
    </row>
    <row r="238" spans="1:122" ht="14.25" customHeight="1" thickBot="1" x14ac:dyDescent="0.2">
      <c r="A238" s="416"/>
      <c r="B238" s="16">
        <v>50557</v>
      </c>
      <c r="C238" s="207">
        <f>'PV-Felder'!$I$7</f>
        <v>3595.6000000000004</v>
      </c>
      <c r="D238" s="351"/>
      <c r="E238" s="61">
        <v>0</v>
      </c>
      <c r="F238" s="351"/>
      <c r="G238" s="56" t="e">
        <f t="shared" ca="1" si="509"/>
        <v>#N/A</v>
      </c>
      <c r="H238" s="351"/>
      <c r="I238" s="61">
        <v>0</v>
      </c>
      <c r="J238" s="351"/>
      <c r="K238" s="61">
        <v>0</v>
      </c>
      <c r="L238" s="351"/>
      <c r="M238" s="65">
        <f t="shared" si="536"/>
        <v>0</v>
      </c>
      <c r="N238" s="373"/>
      <c r="O238" s="288"/>
      <c r="P238" s="288"/>
      <c r="Q238" s="286">
        <f t="shared" si="510"/>
        <v>0</v>
      </c>
      <c r="R238" s="334"/>
      <c r="S238" s="61">
        <v>0</v>
      </c>
      <c r="T238" s="376"/>
      <c r="U238" s="61">
        <v>0</v>
      </c>
      <c r="V238" s="342"/>
      <c r="W238" s="61">
        <v>0</v>
      </c>
      <c r="X238" s="342"/>
      <c r="Y238" s="211" t="e">
        <f t="shared" si="612"/>
        <v>#N/A</v>
      </c>
      <c r="Z238" s="370"/>
      <c r="AA238" s="61">
        <v>0</v>
      </c>
      <c r="AB238" s="351"/>
      <c r="AC238" s="61">
        <v>0</v>
      </c>
      <c r="AD238" s="351"/>
      <c r="AE238" s="73" t="e">
        <f t="shared" si="472"/>
        <v>#N/A</v>
      </c>
      <c r="AF238" s="356"/>
      <c r="AG238" s="73" t="e">
        <f t="shared" si="473"/>
        <v>#N/A</v>
      </c>
      <c r="AH238" s="356"/>
      <c r="AI238" s="221">
        <f t="shared" si="623"/>
        <v>29.26</v>
      </c>
      <c r="AJ238" s="78">
        <f t="shared" ref="AJ238:AP238" si="636">AJ237</f>
        <v>0.26750000000000002</v>
      </c>
      <c r="AK238" s="79">
        <f t="shared" si="636"/>
        <v>9.9166666666666661</v>
      </c>
      <c r="AL238" s="80">
        <f t="shared" si="636"/>
        <v>187</v>
      </c>
      <c r="AM238" s="78">
        <f t="shared" si="636"/>
        <v>9.737942583732058E-2</v>
      </c>
      <c r="AN238" s="80">
        <f t="shared" si="636"/>
        <v>143</v>
      </c>
      <c r="AO238" s="78">
        <f t="shared" si="636"/>
        <v>0.21099999999999999</v>
      </c>
      <c r="AP238" s="88">
        <f t="shared" si="636"/>
        <v>12</v>
      </c>
      <c r="AQ238" s="64">
        <f t="shared" si="545"/>
        <v>21.5</v>
      </c>
      <c r="AR238" s="64">
        <f t="shared" si="546"/>
        <v>11.5</v>
      </c>
      <c r="AS238" s="88">
        <f t="shared" si="547"/>
        <v>1.1830000000000001</v>
      </c>
      <c r="AT238" s="91">
        <f t="shared" si="625"/>
        <v>0</v>
      </c>
      <c r="AU238" s="94"/>
      <c r="AV238" s="95"/>
      <c r="AW238" s="56">
        <f t="shared" si="512"/>
        <v>0</v>
      </c>
      <c r="AX238" s="351"/>
      <c r="AY238" s="100">
        <f t="shared" si="551"/>
        <v>9.9166666666666661</v>
      </c>
      <c r="AZ238" s="360"/>
      <c r="BA238" s="91">
        <f t="shared" si="615"/>
        <v>-2275.5292136666694</v>
      </c>
      <c r="BB238" s="5">
        <f t="shared" si="475"/>
        <v>-9.9166666666666661</v>
      </c>
      <c r="BC238" s="363"/>
      <c r="BD238" s="91" t="e">
        <f t="shared" ca="1" si="513"/>
        <v>#N/A</v>
      </c>
      <c r="BE238" s="91" t="e">
        <f t="shared" ca="1" si="514"/>
        <v>#N/A</v>
      </c>
      <c r="BF238" s="91">
        <f t="shared" si="515"/>
        <v>31.833333333333329</v>
      </c>
      <c r="BG238" s="91" t="e">
        <f t="shared" ca="1" si="516"/>
        <v>#N/A</v>
      </c>
      <c r="BH238" s="91" t="e">
        <f t="shared" ca="1" si="561"/>
        <v>#N/A</v>
      </c>
      <c r="BI238" s="10" t="e">
        <f t="shared" ca="1" si="539"/>
        <v>#N/A</v>
      </c>
      <c r="BJ238" s="104">
        <f>((M238+Q238)*AJ238+AK238)+((U238-W238+W238/('Vergleich Holz Strom'!$B$8-0.6))*AO238+AP238)</f>
        <v>21.916666666666664</v>
      </c>
      <c r="BK238" s="10" t="e">
        <f t="shared" ca="1" si="476"/>
        <v>#N/A</v>
      </c>
      <c r="BL238" s="379"/>
      <c r="BM238" s="104" t="e">
        <f t="shared" ca="1" si="527"/>
        <v>#N/A</v>
      </c>
      <c r="BN238" s="40" t="e">
        <f ca="1">IF(ISNUMBER(BK238),BN237+SUMIF(BK230:BK241,"&lt;&gt;#NV",BK230:BK241)/COUNTIF(BK230:BK241,"&lt;&gt;#NV"),#N/A)</f>
        <v>#N/A</v>
      </c>
      <c r="BO238" s="10" t="e">
        <f t="shared" ca="1" si="610"/>
        <v>#N/A</v>
      </c>
      <c r="BP238" s="104" t="e">
        <f t="shared" ca="1" si="477"/>
        <v>#N/A</v>
      </c>
      <c r="BQ238" s="104">
        <f t="shared" ca="1" si="500"/>
        <v>-59021.30304990906</v>
      </c>
      <c r="BR238" s="10">
        <f t="shared" si="517"/>
        <v>9.9166666666666661</v>
      </c>
      <c r="BS238" s="311"/>
      <c r="BT238" s="307"/>
      <c r="BU238" s="295">
        <f t="shared" si="518"/>
        <v>0</v>
      </c>
      <c r="BV238" s="323"/>
      <c r="BW238" s="299">
        <f t="shared" si="519"/>
        <v>0</v>
      </c>
      <c r="BX238" s="295">
        <f t="shared" si="520"/>
        <v>0</v>
      </c>
      <c r="BY238" s="382"/>
      <c r="BZ238" s="299">
        <f t="shared" si="528"/>
        <v>0</v>
      </c>
      <c r="CA238" s="295">
        <f t="shared" si="540"/>
        <v>0</v>
      </c>
      <c r="CB238" s="323"/>
      <c r="CC238" s="314">
        <f t="shared" si="626"/>
        <v>0</v>
      </c>
      <c r="CD238" s="326"/>
      <c r="CE238" s="299">
        <f t="shared" si="521"/>
        <v>0</v>
      </c>
      <c r="CF238" s="284">
        <f t="shared" si="627"/>
        <v>0</v>
      </c>
      <c r="CG238" s="323"/>
      <c r="CH238" s="302">
        <f t="shared" si="558"/>
        <v>0</v>
      </c>
      <c r="CI238" s="108">
        <f t="shared" si="522"/>
        <v>0</v>
      </c>
      <c r="CJ238" s="200">
        <f t="shared" si="523"/>
        <v>0</v>
      </c>
      <c r="CK238" s="197">
        <f t="shared" si="549"/>
        <v>0</v>
      </c>
      <c r="CL238" s="203">
        <f t="shared" si="524"/>
        <v>12</v>
      </c>
      <c r="CM238" s="4">
        <f>U238*Jahresdaten!$AD$2</f>
        <v>0</v>
      </c>
      <c r="CN238" s="112">
        <f>CJ238*Jahresdaten!$AD$2</f>
        <v>0</v>
      </c>
      <c r="CO238" s="366"/>
      <c r="CP238" s="116">
        <f>U238*Jahresdaten!$AD$3</f>
        <v>0</v>
      </c>
      <c r="CQ238" s="12">
        <f>CJ238*Jahresdaten!$AD$3</f>
        <v>0</v>
      </c>
      <c r="CR238" s="353"/>
      <c r="CS238" s="14"/>
      <c r="CT238" s="136"/>
      <c r="CU238" s="140" t="str">
        <f>IF(CT238=0,"",CT238*'Vergleich Holz Strom'!$B$2)</f>
        <v/>
      </c>
      <c r="CV238" s="353"/>
      <c r="CW238" s="366"/>
      <c r="CX238" s="345"/>
      <c r="CY238" s="345"/>
      <c r="CZ238" s="345"/>
      <c r="DA238" s="348"/>
      <c r="DB238" s="94"/>
      <c r="DC238" s="88">
        <f t="shared" si="632"/>
        <v>39861.261333333343</v>
      </c>
      <c r="DD238" s="94"/>
      <c r="DE238" s="88">
        <f t="shared" si="634"/>
        <v>-31284.112547000001</v>
      </c>
      <c r="DF238" s="100" t="e">
        <f ca="1">BE238+(SUM(CS230:CS241)/12)</f>
        <v>#N/A</v>
      </c>
      <c r="DG238" s="351"/>
      <c r="DH238" s="8">
        <f t="shared" si="616"/>
        <v>0</v>
      </c>
      <c r="DI238" s="123">
        <f t="shared" si="478"/>
        <v>17200</v>
      </c>
      <c r="DJ238" s="2">
        <f t="shared" si="617"/>
        <v>0</v>
      </c>
      <c r="DK238" s="127">
        <f>DK241/12*9</f>
        <v>5850</v>
      </c>
      <c r="DL238" s="2">
        <f t="shared" si="618"/>
        <v>650</v>
      </c>
      <c r="DM238" s="130">
        <f t="shared" si="619"/>
        <v>0</v>
      </c>
      <c r="DN238" s="3">
        <f>DN241/12*9</f>
        <v>2250</v>
      </c>
      <c r="DO238" s="130">
        <f t="shared" si="620"/>
        <v>250</v>
      </c>
      <c r="DP238" s="4">
        <f t="shared" si="621"/>
        <v>0</v>
      </c>
      <c r="DQ238" s="116">
        <f t="shared" si="622"/>
        <v>9100</v>
      </c>
      <c r="DR238" s="116">
        <f t="shared" si="628"/>
        <v>300</v>
      </c>
    </row>
    <row r="239" spans="1:122" ht="14.25" customHeight="1" thickBot="1" x14ac:dyDescent="0.2">
      <c r="A239" s="416"/>
      <c r="B239" s="16">
        <v>50587</v>
      </c>
      <c r="C239" s="207">
        <f>'PV-Felder'!$I$8</f>
        <v>3593.8</v>
      </c>
      <c r="D239" s="351"/>
      <c r="E239" s="61">
        <v>0</v>
      </c>
      <c r="F239" s="351"/>
      <c r="G239" s="56" t="e">
        <f t="shared" ca="1" si="509"/>
        <v>#N/A</v>
      </c>
      <c r="H239" s="351"/>
      <c r="I239" s="61">
        <v>0</v>
      </c>
      <c r="J239" s="351"/>
      <c r="K239" s="61">
        <v>0</v>
      </c>
      <c r="L239" s="351"/>
      <c r="M239" s="65">
        <f t="shared" si="536"/>
        <v>0</v>
      </c>
      <c r="N239" s="373"/>
      <c r="O239" s="288"/>
      <c r="P239" s="288"/>
      <c r="Q239" s="286">
        <f t="shared" si="510"/>
        <v>0</v>
      </c>
      <c r="R239" s="334"/>
      <c r="S239" s="61">
        <v>0</v>
      </c>
      <c r="T239" s="376"/>
      <c r="U239" s="61">
        <v>0</v>
      </c>
      <c r="V239" s="342"/>
      <c r="W239" s="61">
        <v>0</v>
      </c>
      <c r="X239" s="342"/>
      <c r="Y239" s="211" t="e">
        <f t="shared" si="612"/>
        <v>#N/A</v>
      </c>
      <c r="Z239" s="370"/>
      <c r="AA239" s="61">
        <v>0</v>
      </c>
      <c r="AB239" s="351"/>
      <c r="AC239" s="61">
        <v>0</v>
      </c>
      <c r="AD239" s="351"/>
      <c r="AE239" s="73" t="e">
        <f t="shared" si="472"/>
        <v>#N/A</v>
      </c>
      <c r="AF239" s="356"/>
      <c r="AG239" s="73" t="e">
        <f t="shared" si="473"/>
        <v>#N/A</v>
      </c>
      <c r="AH239" s="356"/>
      <c r="AI239" s="221">
        <f t="shared" si="623"/>
        <v>29.26</v>
      </c>
      <c r="AJ239" s="78">
        <f t="shared" ref="AJ239:AP239" si="637">AJ238</f>
        <v>0.26750000000000002</v>
      </c>
      <c r="AK239" s="79">
        <f t="shared" si="637"/>
        <v>9.9166666666666661</v>
      </c>
      <c r="AL239" s="80">
        <f t="shared" si="637"/>
        <v>187</v>
      </c>
      <c r="AM239" s="78">
        <f t="shared" si="637"/>
        <v>9.737942583732058E-2</v>
      </c>
      <c r="AN239" s="80">
        <f t="shared" si="637"/>
        <v>143</v>
      </c>
      <c r="AO239" s="78">
        <f t="shared" si="637"/>
        <v>0.21099999999999999</v>
      </c>
      <c r="AP239" s="88">
        <f t="shared" si="637"/>
        <v>12</v>
      </c>
      <c r="AQ239" s="64">
        <f t="shared" si="545"/>
        <v>21.5</v>
      </c>
      <c r="AR239" s="64">
        <f t="shared" si="546"/>
        <v>11.5</v>
      </c>
      <c r="AS239" s="88">
        <f t="shared" si="547"/>
        <v>1.1830000000000001</v>
      </c>
      <c r="AT239" s="91">
        <f t="shared" si="625"/>
        <v>0</v>
      </c>
      <c r="AU239" s="94"/>
      <c r="AV239" s="95"/>
      <c r="AW239" s="56">
        <f t="shared" si="512"/>
        <v>0</v>
      </c>
      <c r="AX239" s="351"/>
      <c r="AY239" s="100">
        <f t="shared" si="551"/>
        <v>9.9166666666666661</v>
      </c>
      <c r="AZ239" s="360"/>
      <c r="BA239" s="91">
        <f t="shared" si="615"/>
        <v>-2285.4458803333359</v>
      </c>
      <c r="BB239" s="5">
        <f t="shared" si="475"/>
        <v>-9.9166666666666661</v>
      </c>
      <c r="BC239" s="363"/>
      <c r="BD239" s="91" t="e">
        <f t="shared" ca="1" si="513"/>
        <v>#N/A</v>
      </c>
      <c r="BE239" s="91" t="e">
        <f t="shared" ca="1" si="514"/>
        <v>#N/A</v>
      </c>
      <c r="BF239" s="91">
        <f t="shared" si="515"/>
        <v>31.833333333333329</v>
      </c>
      <c r="BG239" s="91" t="e">
        <f t="shared" ca="1" si="516"/>
        <v>#N/A</v>
      </c>
      <c r="BH239" s="91" t="e">
        <f t="shared" ca="1" si="561"/>
        <v>#N/A</v>
      </c>
      <c r="BI239" s="10" t="e">
        <f t="shared" ca="1" si="539"/>
        <v>#N/A</v>
      </c>
      <c r="BJ239" s="104">
        <f>((M239+Q239)*AJ239+AK239)+((U239-W239+W239/('Vergleich Holz Strom'!$B$8-0.6))*AO239+AP239)</f>
        <v>21.916666666666664</v>
      </c>
      <c r="BK239" s="10" t="e">
        <f t="shared" ca="1" si="476"/>
        <v>#N/A</v>
      </c>
      <c r="BL239" s="379"/>
      <c r="BM239" s="104" t="e">
        <f t="shared" ca="1" si="527"/>
        <v>#N/A</v>
      </c>
      <c r="BN239" s="40" t="e">
        <f ca="1">IF(ISNUMBER(BK239),BN238+SUMIF(BK230:BK241,"&lt;&gt;#NV",BK230:BK241)/COUNTIF(BK230:BK241,"&lt;&gt;#NV"),#N/A)</f>
        <v>#N/A</v>
      </c>
      <c r="BO239" s="10" t="e">
        <f ca="1">BK239+AT239+AU239</f>
        <v>#N/A</v>
      </c>
      <c r="BP239" s="104" t="e">
        <f t="shared" ca="1" si="477"/>
        <v>#N/A</v>
      </c>
      <c r="BQ239" s="104">
        <f t="shared" ca="1" si="500"/>
        <v>-59005.102860361527</v>
      </c>
      <c r="BR239" s="10">
        <f t="shared" si="517"/>
        <v>9.9166666666666661</v>
      </c>
      <c r="BS239" s="311"/>
      <c r="BT239" s="307"/>
      <c r="BU239" s="295">
        <f t="shared" si="518"/>
        <v>0</v>
      </c>
      <c r="BV239" s="323"/>
      <c r="BW239" s="299">
        <f t="shared" si="519"/>
        <v>0</v>
      </c>
      <c r="BX239" s="295">
        <f t="shared" si="520"/>
        <v>0</v>
      </c>
      <c r="BY239" s="382"/>
      <c r="BZ239" s="299">
        <f t="shared" si="528"/>
        <v>0</v>
      </c>
      <c r="CA239" s="295">
        <f t="shared" si="540"/>
        <v>0</v>
      </c>
      <c r="CB239" s="323"/>
      <c r="CC239" s="314">
        <f t="shared" si="626"/>
        <v>0</v>
      </c>
      <c r="CD239" s="326"/>
      <c r="CE239" s="299">
        <f t="shared" si="521"/>
        <v>0</v>
      </c>
      <c r="CF239" s="284">
        <f t="shared" si="627"/>
        <v>0</v>
      </c>
      <c r="CG239" s="323"/>
      <c r="CH239" s="302">
        <f t="shared" si="558"/>
        <v>0</v>
      </c>
      <c r="CI239" s="108">
        <f t="shared" si="522"/>
        <v>0</v>
      </c>
      <c r="CJ239" s="200">
        <f t="shared" si="523"/>
        <v>0</v>
      </c>
      <c r="CK239" s="197">
        <f t="shared" si="549"/>
        <v>0</v>
      </c>
      <c r="CL239" s="203">
        <f t="shared" si="524"/>
        <v>12</v>
      </c>
      <c r="CM239" s="4">
        <f>U239*Jahresdaten!$AD$2</f>
        <v>0</v>
      </c>
      <c r="CN239" s="112">
        <f>CJ239*Jahresdaten!$AD$2</f>
        <v>0</v>
      </c>
      <c r="CO239" s="366"/>
      <c r="CP239" s="116">
        <f>U239*Jahresdaten!$AD$3</f>
        <v>0</v>
      </c>
      <c r="CQ239" s="12">
        <f>CJ239*Jahresdaten!$AD$3</f>
        <v>0</v>
      </c>
      <c r="CR239" s="353"/>
      <c r="CS239" s="14"/>
      <c r="CT239" s="136"/>
      <c r="CU239" s="140" t="str">
        <f>IF(CT239=0,"",CT239*'Vergleich Holz Strom'!$B$2)</f>
        <v/>
      </c>
      <c r="CV239" s="353"/>
      <c r="CW239" s="366"/>
      <c r="CX239" s="345"/>
      <c r="CY239" s="345"/>
      <c r="CZ239" s="345"/>
      <c r="DA239" s="348"/>
      <c r="DB239" s="94"/>
      <c r="DC239" s="88">
        <f t="shared" si="632"/>
        <v>40038.344666666679</v>
      </c>
      <c r="DD239" s="94"/>
      <c r="DE239" s="88">
        <f t="shared" si="634"/>
        <v>-31427.112547000001</v>
      </c>
      <c r="DF239" s="100" t="e">
        <f ca="1">BE239+(SUM(CS230:CS241)/12)</f>
        <v>#N/A</v>
      </c>
      <c r="DG239" s="351"/>
      <c r="DH239" s="8">
        <f t="shared" si="616"/>
        <v>0</v>
      </c>
      <c r="DI239" s="123">
        <f t="shared" si="478"/>
        <v>18250</v>
      </c>
      <c r="DJ239" s="2">
        <f t="shared" si="617"/>
        <v>0</v>
      </c>
      <c r="DK239" s="127">
        <f>DK241/12*10</f>
        <v>6500</v>
      </c>
      <c r="DL239" s="2">
        <f t="shared" si="618"/>
        <v>650</v>
      </c>
      <c r="DM239" s="130">
        <f t="shared" si="619"/>
        <v>0</v>
      </c>
      <c r="DN239" s="3">
        <f>DN241/12*10</f>
        <v>2500</v>
      </c>
      <c r="DO239" s="130">
        <f t="shared" si="620"/>
        <v>250</v>
      </c>
      <c r="DP239" s="4">
        <f t="shared" si="621"/>
        <v>0</v>
      </c>
      <c r="DQ239" s="116">
        <f t="shared" si="622"/>
        <v>9250</v>
      </c>
      <c r="DR239" s="116">
        <f t="shared" si="628"/>
        <v>150</v>
      </c>
    </row>
    <row r="240" spans="1:122" ht="14.25" customHeight="1" thickBot="1" x14ac:dyDescent="0.2">
      <c r="A240" s="416"/>
      <c r="B240" s="16">
        <v>50618</v>
      </c>
      <c r="C240" s="207">
        <f>'PV-Felder'!$I$9</f>
        <v>3065.7</v>
      </c>
      <c r="D240" s="351"/>
      <c r="E240" s="61">
        <v>0</v>
      </c>
      <c r="F240" s="351"/>
      <c r="G240" s="56" t="e">
        <f t="shared" ca="1" si="509"/>
        <v>#N/A</v>
      </c>
      <c r="H240" s="351"/>
      <c r="I240" s="61">
        <v>0</v>
      </c>
      <c r="J240" s="351"/>
      <c r="K240" s="61">
        <v>0</v>
      </c>
      <c r="L240" s="351"/>
      <c r="M240" s="65">
        <f t="shared" si="536"/>
        <v>0</v>
      </c>
      <c r="N240" s="373"/>
      <c r="O240" s="288"/>
      <c r="P240" s="288"/>
      <c r="Q240" s="286">
        <f t="shared" si="510"/>
        <v>0</v>
      </c>
      <c r="R240" s="334"/>
      <c r="S240" s="61">
        <v>0</v>
      </c>
      <c r="T240" s="376"/>
      <c r="U240" s="61">
        <v>0</v>
      </c>
      <c r="V240" s="342"/>
      <c r="W240" s="61">
        <v>0</v>
      </c>
      <c r="X240" s="342"/>
      <c r="Y240" s="211" t="e">
        <f t="shared" si="612"/>
        <v>#N/A</v>
      </c>
      <c r="Z240" s="370"/>
      <c r="AA240" s="61">
        <v>0</v>
      </c>
      <c r="AB240" s="351"/>
      <c r="AC240" s="61">
        <v>0</v>
      </c>
      <c r="AD240" s="351"/>
      <c r="AE240" s="73" t="e">
        <f t="shared" si="472"/>
        <v>#N/A</v>
      </c>
      <c r="AF240" s="356"/>
      <c r="AG240" s="73" t="e">
        <f t="shared" si="473"/>
        <v>#N/A</v>
      </c>
      <c r="AH240" s="356"/>
      <c r="AI240" s="221">
        <f t="shared" si="623"/>
        <v>29.26</v>
      </c>
      <c r="AJ240" s="78">
        <f t="shared" ref="AJ240:AP240" si="638">AJ239</f>
        <v>0.26750000000000002</v>
      </c>
      <c r="AK240" s="79">
        <f t="shared" si="638"/>
        <v>9.9166666666666661</v>
      </c>
      <c r="AL240" s="80">
        <f t="shared" si="638"/>
        <v>187</v>
      </c>
      <c r="AM240" s="78">
        <f t="shared" si="638"/>
        <v>9.737942583732058E-2</v>
      </c>
      <c r="AN240" s="80">
        <f t="shared" si="638"/>
        <v>143</v>
      </c>
      <c r="AO240" s="78">
        <f t="shared" si="638"/>
        <v>0.21099999999999999</v>
      </c>
      <c r="AP240" s="88">
        <f t="shared" si="638"/>
        <v>12</v>
      </c>
      <c r="AQ240" s="64">
        <f t="shared" si="545"/>
        <v>21.5</v>
      </c>
      <c r="AR240" s="64">
        <f t="shared" si="546"/>
        <v>11.5</v>
      </c>
      <c r="AS240" s="88">
        <f t="shared" si="547"/>
        <v>1.1830000000000001</v>
      </c>
      <c r="AT240" s="91">
        <f t="shared" si="625"/>
        <v>0</v>
      </c>
      <c r="AU240" s="94"/>
      <c r="AV240" s="95"/>
      <c r="AW240" s="56">
        <f t="shared" si="512"/>
        <v>0</v>
      </c>
      <c r="AX240" s="351"/>
      <c r="AY240" s="100">
        <f t="shared" si="551"/>
        <v>9.9166666666666661</v>
      </c>
      <c r="AZ240" s="360"/>
      <c r="BA240" s="91">
        <f t="shared" si="615"/>
        <v>-2295.3625470000025</v>
      </c>
      <c r="BB240" s="5">
        <f t="shared" si="475"/>
        <v>-9.9166666666666661</v>
      </c>
      <c r="BC240" s="363"/>
      <c r="BD240" s="91" t="e">
        <f t="shared" ca="1" si="513"/>
        <v>#N/A</v>
      </c>
      <c r="BE240" s="91" t="e">
        <f t="shared" ca="1" si="514"/>
        <v>#N/A</v>
      </c>
      <c r="BF240" s="91">
        <f t="shared" si="515"/>
        <v>31.833333333333329</v>
      </c>
      <c r="BG240" s="91" t="e">
        <f t="shared" ca="1" si="516"/>
        <v>#N/A</v>
      </c>
      <c r="BH240" s="91" t="e">
        <f t="shared" ca="1" si="561"/>
        <v>#N/A</v>
      </c>
      <c r="BI240" s="10" t="e">
        <f t="shared" ca="1" si="539"/>
        <v>#N/A</v>
      </c>
      <c r="BJ240" s="104">
        <f>((M240+Q240)*AJ240+AK240)+((U240-W240+W240/('Vergleich Holz Strom'!$B$8-0.6))*AO240+AP240)</f>
        <v>21.916666666666664</v>
      </c>
      <c r="BK240" s="10" t="e">
        <f t="shared" ca="1" si="476"/>
        <v>#N/A</v>
      </c>
      <c r="BL240" s="379"/>
      <c r="BM240" s="104" t="e">
        <f t="shared" ca="1" si="527"/>
        <v>#N/A</v>
      </c>
      <c r="BN240" s="40" t="e">
        <f ca="1">IF(ISNUMBER(BK240),BN239+SUMIF(BK230:BK241,"&lt;&gt;#NV",BK230:BK241)/COUNTIF(BK230:BK241,"&lt;&gt;#NV"),#N/A)</f>
        <v>#N/A</v>
      </c>
      <c r="BO240" s="10" t="e">
        <f t="shared" ref="BO240:BO250" ca="1" si="639">BK240+AT240+AU240</f>
        <v>#N/A</v>
      </c>
      <c r="BP240" s="104" t="e">
        <f t="shared" ca="1" si="477"/>
        <v>#N/A</v>
      </c>
      <c r="BQ240" s="104">
        <f t="shared" ca="1" si="500"/>
        <v>-58988.902670813994</v>
      </c>
      <c r="BR240" s="10">
        <f t="shared" si="517"/>
        <v>9.9166666666666661</v>
      </c>
      <c r="BS240" s="311"/>
      <c r="BT240" s="307"/>
      <c r="BU240" s="295">
        <f t="shared" si="518"/>
        <v>0</v>
      </c>
      <c r="BV240" s="323"/>
      <c r="BW240" s="299">
        <f t="shared" si="519"/>
        <v>0</v>
      </c>
      <c r="BX240" s="295">
        <f t="shared" si="520"/>
        <v>0</v>
      </c>
      <c r="BY240" s="382"/>
      <c r="BZ240" s="299">
        <f t="shared" si="528"/>
        <v>0</v>
      </c>
      <c r="CA240" s="295">
        <f t="shared" si="540"/>
        <v>0</v>
      </c>
      <c r="CB240" s="323"/>
      <c r="CC240" s="314">
        <f t="shared" si="626"/>
        <v>0</v>
      </c>
      <c r="CD240" s="326"/>
      <c r="CE240" s="299">
        <f t="shared" si="521"/>
        <v>0</v>
      </c>
      <c r="CF240" s="284">
        <f t="shared" si="627"/>
        <v>0</v>
      </c>
      <c r="CG240" s="323"/>
      <c r="CH240" s="302">
        <f t="shared" si="558"/>
        <v>0</v>
      </c>
      <c r="CI240" s="108">
        <f t="shared" si="522"/>
        <v>0</v>
      </c>
      <c r="CJ240" s="200">
        <f t="shared" si="523"/>
        <v>0</v>
      </c>
      <c r="CK240" s="197">
        <f t="shared" si="549"/>
        <v>0</v>
      </c>
      <c r="CL240" s="203">
        <f t="shared" si="524"/>
        <v>12</v>
      </c>
      <c r="CM240" s="4">
        <f>U240*Jahresdaten!$AD$2</f>
        <v>0</v>
      </c>
      <c r="CN240" s="112">
        <f>CJ240*Jahresdaten!$AD$2</f>
        <v>0</v>
      </c>
      <c r="CO240" s="366"/>
      <c r="CP240" s="116">
        <f>U240*Jahresdaten!$AD$3</f>
        <v>0</v>
      </c>
      <c r="CQ240" s="12">
        <f>CJ240*Jahresdaten!$AD$3</f>
        <v>0</v>
      </c>
      <c r="CR240" s="353"/>
      <c r="CS240" s="14"/>
      <c r="CT240" s="136"/>
      <c r="CU240" s="140" t="str">
        <f>IF(CT240=0,"",CT240*'Vergleich Holz Strom'!$B$2)</f>
        <v/>
      </c>
      <c r="CV240" s="353"/>
      <c r="CW240" s="366"/>
      <c r="CX240" s="345"/>
      <c r="CY240" s="345"/>
      <c r="CZ240" s="345"/>
      <c r="DA240" s="348"/>
      <c r="DB240" s="94"/>
      <c r="DC240" s="88">
        <f t="shared" si="632"/>
        <v>40215.428000000014</v>
      </c>
      <c r="DD240" s="94"/>
      <c r="DE240" s="88">
        <f t="shared" si="634"/>
        <v>-31570.112547000001</v>
      </c>
      <c r="DF240" s="100" t="e">
        <f ca="1">BE240+(SUM(CS230:CS241)/12)</f>
        <v>#N/A</v>
      </c>
      <c r="DG240" s="351"/>
      <c r="DH240" s="8">
        <f t="shared" si="616"/>
        <v>0</v>
      </c>
      <c r="DI240" s="123">
        <f t="shared" si="478"/>
        <v>19300</v>
      </c>
      <c r="DJ240" s="2">
        <f t="shared" si="617"/>
        <v>0</v>
      </c>
      <c r="DK240" s="127">
        <f>DK241/12*11</f>
        <v>7150</v>
      </c>
      <c r="DL240" s="2">
        <f t="shared" si="618"/>
        <v>650</v>
      </c>
      <c r="DM240" s="130">
        <f t="shared" si="619"/>
        <v>0</v>
      </c>
      <c r="DN240" s="3">
        <f>DN241/12*11</f>
        <v>2750</v>
      </c>
      <c r="DO240" s="130">
        <f t="shared" si="620"/>
        <v>250</v>
      </c>
      <c r="DP240" s="4">
        <f t="shared" si="621"/>
        <v>0</v>
      </c>
      <c r="DQ240" s="116">
        <f t="shared" si="622"/>
        <v>9400</v>
      </c>
      <c r="DR240" s="116">
        <f t="shared" si="628"/>
        <v>150</v>
      </c>
    </row>
    <row r="241" spans="1:122" s="28" customFormat="1" ht="15" customHeight="1" thickBot="1" x14ac:dyDescent="0.2">
      <c r="A241" s="417"/>
      <c r="B241" s="18">
        <v>50649</v>
      </c>
      <c r="C241" s="208">
        <f>'PV-Felder'!$I$10</f>
        <v>2246.7000000000003</v>
      </c>
      <c r="D241" s="352"/>
      <c r="E241" s="63">
        <v>0</v>
      </c>
      <c r="F241" s="352"/>
      <c r="G241" s="57" t="e">
        <f t="shared" ca="1" si="509"/>
        <v>#N/A</v>
      </c>
      <c r="H241" s="352"/>
      <c r="I241" s="63">
        <v>0</v>
      </c>
      <c r="J241" s="352"/>
      <c r="K241" s="63">
        <v>0</v>
      </c>
      <c r="L241" s="352"/>
      <c r="M241" s="67">
        <f t="shared" si="536"/>
        <v>0</v>
      </c>
      <c r="N241" s="374"/>
      <c r="O241" s="290"/>
      <c r="P241" s="290"/>
      <c r="Q241" s="289">
        <f t="shared" si="510"/>
        <v>0</v>
      </c>
      <c r="R241" s="334"/>
      <c r="S241" s="63">
        <v>0</v>
      </c>
      <c r="T241" s="377"/>
      <c r="U241" s="63">
        <v>0</v>
      </c>
      <c r="V241" s="343"/>
      <c r="W241" s="63">
        <v>0</v>
      </c>
      <c r="X241" s="343"/>
      <c r="Y241" s="213" t="e">
        <f t="shared" si="612"/>
        <v>#N/A</v>
      </c>
      <c r="Z241" s="371"/>
      <c r="AA241" s="63">
        <v>0</v>
      </c>
      <c r="AB241" s="352"/>
      <c r="AC241" s="63">
        <v>0</v>
      </c>
      <c r="AD241" s="352"/>
      <c r="AE241" s="75" t="e">
        <f t="shared" si="472"/>
        <v>#N/A</v>
      </c>
      <c r="AF241" s="357"/>
      <c r="AG241" s="75" t="e">
        <f t="shared" si="473"/>
        <v>#N/A</v>
      </c>
      <c r="AH241" s="357"/>
      <c r="AI241" s="223">
        <f>AI240</f>
        <v>29.26</v>
      </c>
      <c r="AJ241" s="83">
        <f t="shared" ref="AJ241:AP241" si="640">AJ240</f>
        <v>0.26750000000000002</v>
      </c>
      <c r="AK241" s="21">
        <f t="shared" si="640"/>
        <v>9.9166666666666661</v>
      </c>
      <c r="AL241" s="84">
        <f t="shared" si="640"/>
        <v>187</v>
      </c>
      <c r="AM241" s="83">
        <f t="shared" si="640"/>
        <v>9.737942583732058E-2</v>
      </c>
      <c r="AN241" s="84">
        <f t="shared" si="640"/>
        <v>143</v>
      </c>
      <c r="AO241" s="83">
        <f t="shared" si="640"/>
        <v>0.21099999999999999</v>
      </c>
      <c r="AP241" s="90">
        <f t="shared" si="640"/>
        <v>12</v>
      </c>
      <c r="AQ241" s="125">
        <f t="shared" si="545"/>
        <v>21.5</v>
      </c>
      <c r="AR241" s="125">
        <f t="shared" si="546"/>
        <v>11.5</v>
      </c>
      <c r="AS241" s="92">
        <f t="shared" si="547"/>
        <v>1.1830000000000001</v>
      </c>
      <c r="AT241" s="92">
        <f t="shared" si="625"/>
        <v>0</v>
      </c>
      <c r="AU241" s="98"/>
      <c r="AV241" s="99"/>
      <c r="AW241" s="57">
        <f t="shared" si="512"/>
        <v>0</v>
      </c>
      <c r="AX241" s="352"/>
      <c r="AY241" s="102">
        <f t="shared" si="551"/>
        <v>9.9166666666666661</v>
      </c>
      <c r="AZ241" s="361"/>
      <c r="BA241" s="92">
        <f t="shared" si="615"/>
        <v>-2305.279213666669</v>
      </c>
      <c r="BB241" s="22">
        <f t="shared" si="475"/>
        <v>-9.9166666666666661</v>
      </c>
      <c r="BC241" s="364"/>
      <c r="BD241" s="92" t="e">
        <f t="shared" ca="1" si="513"/>
        <v>#N/A</v>
      </c>
      <c r="BE241" s="92" t="e">
        <f t="shared" ca="1" si="514"/>
        <v>#N/A</v>
      </c>
      <c r="BF241" s="92">
        <f t="shared" si="515"/>
        <v>31.833333333333329</v>
      </c>
      <c r="BG241" s="92" t="e">
        <f t="shared" ca="1" si="516"/>
        <v>#N/A</v>
      </c>
      <c r="BH241" s="92" t="e">
        <f t="shared" ca="1" si="561"/>
        <v>#N/A</v>
      </c>
      <c r="BI241" s="24" t="e">
        <f t="shared" ca="1" si="539"/>
        <v>#N/A</v>
      </c>
      <c r="BJ241" s="106">
        <f>((M241+Q241)*AJ241+AK241)+((U241-W241+W241/('Vergleich Holz Strom'!$B$8-0.6))*AO241+AP241)</f>
        <v>21.916666666666664</v>
      </c>
      <c r="BK241" s="24" t="e">
        <f t="shared" ca="1" si="476"/>
        <v>#N/A</v>
      </c>
      <c r="BL241" s="380"/>
      <c r="BM241" s="106" t="e">
        <f t="shared" ca="1" si="527"/>
        <v>#N/A</v>
      </c>
      <c r="BN241" s="226" t="e">
        <f ca="1">IF(ISNUMBER(BK241),BN240+SUMIF(BK230:BK241,"&lt;&gt;#NV",BK230:BK241)/COUNTIF(BK230:BK241,"&lt;&gt;#NV"),#N/A)</f>
        <v>#N/A</v>
      </c>
      <c r="BO241" s="318" t="e">
        <f t="shared" ca="1" si="639"/>
        <v>#N/A</v>
      </c>
      <c r="BP241" s="106" t="e">
        <f t="shared" ca="1" si="477"/>
        <v>#N/A</v>
      </c>
      <c r="BQ241" s="106">
        <f t="shared" ca="1" si="500"/>
        <v>-58972.70248126646</v>
      </c>
      <c r="BR241" s="24">
        <f t="shared" si="517"/>
        <v>9.9166666666666661</v>
      </c>
      <c r="BS241" s="312"/>
      <c r="BT241" s="308"/>
      <c r="BU241" s="296">
        <f t="shared" si="518"/>
        <v>0</v>
      </c>
      <c r="BV241" s="324"/>
      <c r="BW241" s="292">
        <f t="shared" si="519"/>
        <v>0</v>
      </c>
      <c r="BX241" s="295">
        <f t="shared" si="520"/>
        <v>0</v>
      </c>
      <c r="BY241" s="382"/>
      <c r="BZ241" s="299">
        <f t="shared" si="528"/>
        <v>0</v>
      </c>
      <c r="CA241" s="296">
        <f t="shared" si="540"/>
        <v>0</v>
      </c>
      <c r="CB241" s="324"/>
      <c r="CC241" s="315">
        <f t="shared" si="626"/>
        <v>0</v>
      </c>
      <c r="CD241" s="327"/>
      <c r="CE241" s="292">
        <f t="shared" si="521"/>
        <v>0</v>
      </c>
      <c r="CF241" s="296">
        <f t="shared" si="627"/>
        <v>0</v>
      </c>
      <c r="CG241" s="324"/>
      <c r="CH241" s="303">
        <f t="shared" si="558"/>
        <v>0</v>
      </c>
      <c r="CI241" s="110">
        <f t="shared" si="522"/>
        <v>0</v>
      </c>
      <c r="CJ241" s="200">
        <f t="shared" si="523"/>
        <v>0</v>
      </c>
      <c r="CK241" s="25">
        <f t="shared" si="549"/>
        <v>0</v>
      </c>
      <c r="CL241" s="204">
        <f t="shared" si="524"/>
        <v>12</v>
      </c>
      <c r="CM241" s="26">
        <f>U241*Jahresdaten!$AD$2</f>
        <v>0</v>
      </c>
      <c r="CN241" s="114">
        <f>CJ241*Jahresdaten!$AD$2</f>
        <v>0</v>
      </c>
      <c r="CO241" s="346"/>
      <c r="CP241" s="118">
        <f>U241*Jahresdaten!$AD$3</f>
        <v>0</v>
      </c>
      <c r="CQ241" s="25">
        <f>CJ241*Jahresdaten!$AD$3</f>
        <v>0</v>
      </c>
      <c r="CR241" s="354"/>
      <c r="CS241" s="23"/>
      <c r="CT241" s="138"/>
      <c r="CU241" s="141" t="str">
        <f>IF(CT241=0,"",CT241*'Vergleich Holz Strom'!$B$2)</f>
        <v/>
      </c>
      <c r="CV241" s="354"/>
      <c r="CW241" s="346"/>
      <c r="CX241" s="346"/>
      <c r="CY241" s="346"/>
      <c r="CZ241" s="346"/>
      <c r="DA241" s="349"/>
      <c r="DB241" s="98"/>
      <c r="DC241" s="90">
        <f t="shared" si="632"/>
        <v>40392.51133333335</v>
      </c>
      <c r="DD241" s="98"/>
      <c r="DE241" s="90">
        <f t="shared" si="634"/>
        <v>-31713.112547000001</v>
      </c>
      <c r="DF241" s="102" t="e">
        <f ca="1">BE241+(SUM(CS230:CS241)/12)</f>
        <v>#N/A</v>
      </c>
      <c r="DG241" s="352"/>
      <c r="DH241" s="19">
        <f t="shared" si="616"/>
        <v>0</v>
      </c>
      <c r="DI241" s="125">
        <f t="shared" si="478"/>
        <v>20800</v>
      </c>
      <c r="DJ241" s="20">
        <f t="shared" si="617"/>
        <v>0</v>
      </c>
      <c r="DK241" s="129">
        <f>DK229</f>
        <v>7800</v>
      </c>
      <c r="DL241" s="20">
        <f t="shared" si="618"/>
        <v>650</v>
      </c>
      <c r="DM241" s="132">
        <f t="shared" si="619"/>
        <v>0</v>
      </c>
      <c r="DN241" s="27">
        <f>DN229</f>
        <v>3000</v>
      </c>
      <c r="DO241" s="132">
        <f t="shared" si="620"/>
        <v>250</v>
      </c>
      <c r="DP241" s="26">
        <f t="shared" si="621"/>
        <v>0</v>
      </c>
      <c r="DQ241" s="118">
        <f>DQ229</f>
        <v>10000</v>
      </c>
      <c r="DR241" s="118">
        <f>DR229</f>
        <v>600</v>
      </c>
    </row>
    <row r="242" spans="1:122" ht="15" customHeight="1" thickBot="1" x14ac:dyDescent="0.2">
      <c r="A242" s="415" t="s">
        <v>178</v>
      </c>
      <c r="B242" s="16">
        <v>50679</v>
      </c>
      <c r="C242" s="207">
        <f>'PV-Felder'!$I$11</f>
        <v>1416.7</v>
      </c>
      <c r="D242" s="358">
        <f t="shared" ref="D242" si="641">SUMIF(E242:E253,"&gt;0",C242:C253)</f>
        <v>0</v>
      </c>
      <c r="E242" s="61">
        <v>0</v>
      </c>
      <c r="F242" s="368">
        <f>SUM(E242:E253)</f>
        <v>0</v>
      </c>
      <c r="G242" s="58" t="e">
        <f t="shared" ca="1" si="509"/>
        <v>#N/A</v>
      </c>
      <c r="H242" s="358" t="e">
        <f ca="1">IF(TODAY()&lt;B242,#N/A,F242-D242)</f>
        <v>#N/A</v>
      </c>
      <c r="I242" s="61">
        <v>0</v>
      </c>
      <c r="J242" s="368">
        <f>SUM(I242:I253)</f>
        <v>0</v>
      </c>
      <c r="K242" s="61">
        <v>0</v>
      </c>
      <c r="L242" s="368">
        <f>SUM(K242:K253)</f>
        <v>0</v>
      </c>
      <c r="M242" s="66">
        <f t="shared" si="536"/>
        <v>0</v>
      </c>
      <c r="N242" s="372">
        <f>SUM(M242:M253)</f>
        <v>0</v>
      </c>
      <c r="Q242" s="287">
        <f t="shared" si="510"/>
        <v>0</v>
      </c>
      <c r="R242" s="333">
        <f>SUM(Q242:Q253)</f>
        <v>0</v>
      </c>
      <c r="S242" s="61">
        <v>0</v>
      </c>
      <c r="T242" s="375">
        <f>SUM(S242:S253)</f>
        <v>0</v>
      </c>
      <c r="U242" s="61">
        <v>0</v>
      </c>
      <c r="V242" s="341">
        <f>SUM(U242:U253)</f>
        <v>0</v>
      </c>
      <c r="W242" s="61">
        <v>0</v>
      </c>
      <c r="X242" s="341">
        <f>SUM(W242:W253)</f>
        <v>0</v>
      </c>
      <c r="Y242" s="211" t="e">
        <f t="shared" si="612"/>
        <v>#N/A</v>
      </c>
      <c r="Z242" s="369">
        <f>N242+T242+V242</f>
        <v>0</v>
      </c>
      <c r="AA242" s="62">
        <v>0</v>
      </c>
      <c r="AB242" s="368">
        <f>SUM(AA242:AA253)</f>
        <v>0</v>
      </c>
      <c r="AC242" s="62">
        <v>0</v>
      </c>
      <c r="AD242" s="368">
        <f>SUM(AC242:AC253)</f>
        <v>0</v>
      </c>
      <c r="AE242" s="74" t="e">
        <f t="shared" ref="AE242:AE301" si="642">IF(E242=0,#N/A,1/E242*(E242-AC242))</f>
        <v>#N/A</v>
      </c>
      <c r="AF242" s="355" t="e">
        <f>IF(SUMIF(AE242:AE253,"&gt;0")&gt;0,SUMIF(AE242:AE253,"&gt;0")/COUNTIF(AE242:AE253,"&gt;0"),#N/A)</f>
        <v>#N/A</v>
      </c>
      <c r="AG242" s="73" t="e">
        <f t="shared" ref="AG242:AG301" si="643">IF(E242=0,#N/A,1/(I242+K242+AA242)*(I242+K242))</f>
        <v>#N/A</v>
      </c>
      <c r="AH242" s="355" t="e">
        <f>IF(SUMIF(AG242:AG253,"&gt;0")&gt;0,SUMIF(AG242:AG253,"&gt;0")/COUNTIF(AG242:AG253,"&gt;0"),#N/A)</f>
        <v>#N/A</v>
      </c>
      <c r="AI242" s="222">
        <f>AI241</f>
        <v>29.26</v>
      </c>
      <c r="AJ242" s="78">
        <f t="shared" ref="AJ242:AP242" si="644">AJ241</f>
        <v>0.26750000000000002</v>
      </c>
      <c r="AK242" s="79">
        <f t="shared" si="644"/>
        <v>9.9166666666666661</v>
      </c>
      <c r="AL242" s="80">
        <f t="shared" si="644"/>
        <v>187</v>
      </c>
      <c r="AM242" s="78">
        <f t="shared" si="644"/>
        <v>9.737942583732058E-2</v>
      </c>
      <c r="AN242" s="80">
        <f t="shared" si="644"/>
        <v>143</v>
      </c>
      <c r="AO242" s="78">
        <f t="shared" si="644"/>
        <v>0.21099999999999999</v>
      </c>
      <c r="AP242" s="88">
        <f t="shared" si="644"/>
        <v>12</v>
      </c>
      <c r="AQ242" s="64">
        <f t="shared" si="545"/>
        <v>21.5</v>
      </c>
      <c r="AR242" s="64">
        <f t="shared" si="546"/>
        <v>11.5</v>
      </c>
      <c r="AS242" s="88">
        <f t="shared" si="547"/>
        <v>1.1830000000000001</v>
      </c>
      <c r="AT242" s="91">
        <f t="shared" si="625"/>
        <v>0</v>
      </c>
      <c r="AU242" s="94"/>
      <c r="AV242" s="95"/>
      <c r="AW242" s="56">
        <f t="shared" si="512"/>
        <v>0</v>
      </c>
      <c r="AX242" s="358">
        <f>SUM(AW242:AW253)</f>
        <v>0</v>
      </c>
      <c r="AY242" s="100">
        <f t="shared" si="551"/>
        <v>9.9166666666666661</v>
      </c>
      <c r="AZ242" s="359">
        <f>SUM(AY242:AY253)</f>
        <v>119.00000000000001</v>
      </c>
      <c r="BA242" s="103">
        <f>BA241-AY242</f>
        <v>-2315.1958803333355</v>
      </c>
      <c r="BB242" s="5">
        <f t="shared" ref="BB242:BB301" si="645">-AY242</f>
        <v>-9.9166666666666661</v>
      </c>
      <c r="BC242" s="362">
        <f>SUM(AY242:AY253)/12</f>
        <v>9.9166666666666679</v>
      </c>
      <c r="BD242" s="91" t="e">
        <f t="shared" ca="1" si="513"/>
        <v>#N/A</v>
      </c>
      <c r="BE242" s="91" t="e">
        <f t="shared" ca="1" si="514"/>
        <v>#N/A</v>
      </c>
      <c r="BF242" s="91">
        <f t="shared" si="515"/>
        <v>31.833333333333329</v>
      </c>
      <c r="BG242" s="91" t="e">
        <f t="shared" ca="1" si="516"/>
        <v>#N/A</v>
      </c>
      <c r="BH242" s="91" t="e">
        <f t="shared" ca="1" si="561"/>
        <v>#N/A</v>
      </c>
      <c r="BI242" s="10" t="e">
        <f t="shared" ca="1" si="539"/>
        <v>#N/A</v>
      </c>
      <c r="BJ242" s="104">
        <f>((M242+Q242)*AJ242+AK242)+((U242-W242+W242/('Vergleich Holz Strom'!$B$8-0.6))*AO242+AP242)</f>
        <v>21.916666666666664</v>
      </c>
      <c r="BK242" s="10" t="e">
        <f t="shared" ref="BK242:BK301" ca="1" si="646">BJ242-BI242</f>
        <v>#N/A</v>
      </c>
      <c r="BL242" s="378">
        <f ca="1">SUMIF(BK242:BK253,"&lt;&gt;#NV",BK242:BK253)</f>
        <v>0</v>
      </c>
      <c r="BM242" s="104" t="e">
        <f t="shared" ca="1" si="527"/>
        <v>#N/A</v>
      </c>
      <c r="BN242" s="40" t="e">
        <f ca="1">IF(ISNUMBER(BK242),BN241+SUMIF(BK242:BK253,"&lt;&gt;#NV",BK242:BK253)/COUNTIF(BK242:BK253,"&lt;&gt;#NV"),#N/A)</f>
        <v>#N/A</v>
      </c>
      <c r="BO242" s="10" t="e">
        <f t="shared" ca="1" si="639"/>
        <v>#N/A</v>
      </c>
      <c r="BP242" s="105" t="e">
        <f t="shared" ref="BP242:BP301" ca="1" si="647">BP241+BO242</f>
        <v>#N/A</v>
      </c>
      <c r="BQ242" s="104">
        <f t="shared" ca="1" si="500"/>
        <v>-58960.70248126646</v>
      </c>
      <c r="BR242" s="10">
        <f t="shared" si="517"/>
        <v>9.9166666666666661</v>
      </c>
      <c r="BS242" s="311"/>
      <c r="BT242" s="307"/>
      <c r="BU242" s="295">
        <f t="shared" si="518"/>
        <v>0</v>
      </c>
      <c r="BV242" s="322">
        <f>SUM(BU242:BU253)</f>
        <v>0</v>
      </c>
      <c r="BW242" s="300">
        <f t="shared" si="519"/>
        <v>0</v>
      </c>
      <c r="BX242" s="305">
        <f t="shared" si="520"/>
        <v>0</v>
      </c>
      <c r="BY242" s="381">
        <f>SUM(BX242:BX253)</f>
        <v>0</v>
      </c>
      <c r="BZ242" s="300">
        <f t="shared" si="528"/>
        <v>0</v>
      </c>
      <c r="CA242" s="295">
        <f t="shared" si="540"/>
        <v>0</v>
      </c>
      <c r="CB242" s="322">
        <f>SUM(CA242:CA253)</f>
        <v>0</v>
      </c>
      <c r="CC242" s="314">
        <f t="shared" si="626"/>
        <v>0</v>
      </c>
      <c r="CD242" s="325">
        <f>SUM(CC242:CC253)</f>
        <v>0</v>
      </c>
      <c r="CE242" s="299">
        <f t="shared" si="521"/>
        <v>0</v>
      </c>
      <c r="CF242" s="284">
        <f t="shared" si="627"/>
        <v>0</v>
      </c>
      <c r="CG242" s="328">
        <f>SUM(CF242:CF253)</f>
        <v>0</v>
      </c>
      <c r="CH242" s="302">
        <f t="shared" si="558"/>
        <v>0</v>
      </c>
      <c r="CI242" s="108">
        <f t="shared" si="522"/>
        <v>0</v>
      </c>
      <c r="CJ242" s="201">
        <f t="shared" si="523"/>
        <v>0</v>
      </c>
      <c r="CK242" s="197">
        <f t="shared" si="549"/>
        <v>0</v>
      </c>
      <c r="CL242" s="203">
        <f t="shared" si="524"/>
        <v>12</v>
      </c>
      <c r="CM242" s="4">
        <f>U242*Jahresdaten!$AD$2</f>
        <v>0</v>
      </c>
      <c r="CN242" s="112">
        <f>CJ242*Jahresdaten!$AD$2</f>
        <v>0</v>
      </c>
      <c r="CO242" s="365">
        <f>CW242*Jahresdaten!$AD$2</f>
        <v>856.59076092206669</v>
      </c>
      <c r="CP242" s="116">
        <f>U242*Jahresdaten!$AD$3</f>
        <v>0</v>
      </c>
      <c r="CQ242" s="12">
        <f>CJ242*Jahresdaten!$AD$3</f>
        <v>0</v>
      </c>
      <c r="CR242" s="367">
        <f>CW242*Jahresdaten!$AD$3</f>
        <v>312.40923907793319</v>
      </c>
      <c r="CS242" s="14">
        <f>CS230</f>
        <v>1169</v>
      </c>
      <c r="CT242" s="136">
        <f>CT230</f>
        <v>12</v>
      </c>
      <c r="CU242" s="140">
        <f>IF(CT242=0,"",CT242*'Vergleich Holz Strom'!$B$2)</f>
        <v>25800</v>
      </c>
      <c r="CV242" s="120" t="s">
        <v>7</v>
      </c>
      <c r="CW242" s="365">
        <f>CV243+CV249</f>
        <v>1169</v>
      </c>
      <c r="CX242" s="344">
        <f>SUM(CS242:CS253)/SUM(CU242:CU253)*(SUM(CU242:CU253)+(V242*('Vergleich Holz Strom'!$B$8-0.6)/'Vergleich Holz Strom'!$E$6))</f>
        <v>1169</v>
      </c>
      <c r="CY242" s="344">
        <f>SUM(CU242:CU253)*'Vergleich Holz Strom'!$E$6/('Vergleich Holz Strom'!$B$8-0.6)*(SUM(AJ242:AJ253)/12)+CV243</f>
        <v>1420.8970588235295</v>
      </c>
      <c r="CZ242" s="344">
        <f>SUM(CU242:CU253)*'Vergleich Holz Strom'!$E$6/('Vergleich Holz Strom'!$B$8-0.6)*SUM(AM242:AM253)/12+SUM(CK242:CK253)</f>
        <v>517.25659724176774</v>
      </c>
      <c r="DA242" s="347">
        <f>SUM(CU242:CU253)*'Vergleich Holz Strom'!$E$6/('Vergleich Holz Strom'!$B$8-0.6)*(SUM(AO242:AO253)/12)+SUM(CL242:CL253)</f>
        <v>1264.7823529411764</v>
      </c>
      <c r="DB242" s="94"/>
      <c r="DC242" s="88">
        <f t="shared" si="632"/>
        <v>40569.594666666686</v>
      </c>
      <c r="DD242" s="94"/>
      <c r="DE242" s="88">
        <f t="shared" si="634"/>
        <v>-31856.112547000001</v>
      </c>
      <c r="DF242" s="100" t="e">
        <f ca="1">BE242+(SUM(CS242:CS253)/12)</f>
        <v>#N/A</v>
      </c>
      <c r="DG242" s="350">
        <f ca="1">SUMIF(DF242:DF253,"&gt;0")</f>
        <v>0</v>
      </c>
      <c r="DH242" s="8">
        <f>M242+S242+U242</f>
        <v>0</v>
      </c>
      <c r="DI242" s="123">
        <f t="shared" ref="DI242:DI301" si="648">DK242+DN242+DQ242</f>
        <v>1850</v>
      </c>
      <c r="DJ242" s="2">
        <f>M242</f>
        <v>0</v>
      </c>
      <c r="DK242" s="127">
        <f>DK253/12*1</f>
        <v>650</v>
      </c>
      <c r="DL242" s="2">
        <f>DL241</f>
        <v>650</v>
      </c>
      <c r="DM242" s="130">
        <f>S242</f>
        <v>0</v>
      </c>
      <c r="DN242" s="3">
        <f>DN253/12*1</f>
        <v>250</v>
      </c>
      <c r="DO242" s="130">
        <f>DO241</f>
        <v>250</v>
      </c>
      <c r="DP242" s="4">
        <f>U242</f>
        <v>0</v>
      </c>
      <c r="DQ242" s="116">
        <f>DR242</f>
        <v>950</v>
      </c>
      <c r="DR242" s="116">
        <f>DR230</f>
        <v>950</v>
      </c>
    </row>
    <row r="243" spans="1:122" ht="14.25" customHeight="1" thickBot="1" x14ac:dyDescent="0.2">
      <c r="A243" s="416"/>
      <c r="B243" s="16">
        <v>50710</v>
      </c>
      <c r="C243" s="207">
        <f>'PV-Felder'!$I$12</f>
        <v>739.6</v>
      </c>
      <c r="D243" s="351"/>
      <c r="E243" s="61">
        <v>0</v>
      </c>
      <c r="F243" s="351"/>
      <c r="G243" s="56" t="e">
        <f t="shared" ca="1" si="509"/>
        <v>#N/A</v>
      </c>
      <c r="H243" s="351"/>
      <c r="I243" s="61">
        <v>0</v>
      </c>
      <c r="J243" s="351"/>
      <c r="K243" s="61">
        <v>0</v>
      </c>
      <c r="L243" s="351"/>
      <c r="M243" s="65">
        <f t="shared" si="536"/>
        <v>0</v>
      </c>
      <c r="N243" s="373"/>
      <c r="O243" s="288"/>
      <c r="P243" s="288"/>
      <c r="Q243" s="286">
        <f t="shared" si="510"/>
        <v>0</v>
      </c>
      <c r="R243" s="334"/>
      <c r="S243" s="61">
        <v>0</v>
      </c>
      <c r="T243" s="376"/>
      <c r="U243" s="61">
        <v>0</v>
      </c>
      <c r="V243" s="342"/>
      <c r="W243" s="61">
        <v>0</v>
      </c>
      <c r="X243" s="342"/>
      <c r="Y243" s="211" t="e">
        <f t="shared" si="612"/>
        <v>#N/A</v>
      </c>
      <c r="Z243" s="370"/>
      <c r="AA243" s="61">
        <v>0</v>
      </c>
      <c r="AB243" s="351"/>
      <c r="AC243" s="61">
        <v>0</v>
      </c>
      <c r="AD243" s="351"/>
      <c r="AE243" s="73" t="e">
        <f t="shared" si="642"/>
        <v>#N/A</v>
      </c>
      <c r="AF243" s="356"/>
      <c r="AG243" s="73" t="e">
        <f t="shared" si="643"/>
        <v>#N/A</v>
      </c>
      <c r="AH243" s="356"/>
      <c r="AI243" s="221">
        <f>AI242</f>
        <v>29.26</v>
      </c>
      <c r="AJ243" s="78">
        <f t="shared" ref="AJ243:AN243" si="649">AJ242</f>
        <v>0.26750000000000002</v>
      </c>
      <c r="AK243" s="79">
        <f t="shared" si="649"/>
        <v>9.9166666666666661</v>
      </c>
      <c r="AL243" s="80">
        <f t="shared" si="649"/>
        <v>187</v>
      </c>
      <c r="AM243" s="78">
        <f t="shared" si="649"/>
        <v>9.737942583732058E-2</v>
      </c>
      <c r="AN243" s="80">
        <f t="shared" si="649"/>
        <v>143</v>
      </c>
      <c r="AO243" s="78">
        <f>AO242</f>
        <v>0.21099999999999999</v>
      </c>
      <c r="AP243" s="88">
        <f>AP242</f>
        <v>12</v>
      </c>
      <c r="AQ243" s="64">
        <f t="shared" si="545"/>
        <v>21.5</v>
      </c>
      <c r="AR243" s="64">
        <f t="shared" si="546"/>
        <v>11.5</v>
      </c>
      <c r="AS243" s="88">
        <f t="shared" si="547"/>
        <v>1.1830000000000001</v>
      </c>
      <c r="AT243" s="91">
        <f t="shared" si="625"/>
        <v>0</v>
      </c>
      <c r="AU243" s="94"/>
      <c r="AV243" s="95"/>
      <c r="AW243" s="56">
        <f t="shared" si="512"/>
        <v>0</v>
      </c>
      <c r="AX243" s="351"/>
      <c r="AY243" s="100">
        <f t="shared" si="551"/>
        <v>9.9166666666666661</v>
      </c>
      <c r="AZ243" s="360"/>
      <c r="BA243" s="91">
        <f t="shared" ref="BA243:BA253" si="650">BA242-AY243</f>
        <v>-2325.112547000002</v>
      </c>
      <c r="BB243" s="5">
        <f t="shared" si="645"/>
        <v>-9.9166666666666661</v>
      </c>
      <c r="BC243" s="363"/>
      <c r="BD243" s="91" t="e">
        <f t="shared" ca="1" si="513"/>
        <v>#N/A</v>
      </c>
      <c r="BE243" s="91" t="e">
        <f t="shared" ca="1" si="514"/>
        <v>#N/A</v>
      </c>
      <c r="BF243" s="91">
        <f t="shared" si="515"/>
        <v>31.833333333333329</v>
      </c>
      <c r="BG243" s="91" t="e">
        <f t="shared" ca="1" si="516"/>
        <v>#N/A</v>
      </c>
      <c r="BH243" s="91" t="e">
        <f t="shared" ca="1" si="561"/>
        <v>#N/A</v>
      </c>
      <c r="BI243" s="10" t="e">
        <f t="shared" ca="1" si="539"/>
        <v>#N/A</v>
      </c>
      <c r="BJ243" s="104">
        <f>((M243+Q243)*AJ243+AK243)+((U243-W243+W243/('Vergleich Holz Strom'!$B$8-0.6))*AO243+AP243)</f>
        <v>21.916666666666664</v>
      </c>
      <c r="BK243" s="10" t="e">
        <f t="shared" ca="1" si="646"/>
        <v>#N/A</v>
      </c>
      <c r="BL243" s="379"/>
      <c r="BM243" s="104" t="e">
        <f t="shared" ca="1" si="527"/>
        <v>#N/A</v>
      </c>
      <c r="BN243" s="40" t="e">
        <f ca="1">IF(ISNUMBER(BK243),BN242+SUMIF(BK242:BK253,"&lt;&gt;#NV",BK242:BK253)/COUNTIF(BK242:BK253,"&lt;&gt;#NV"),#N/A)</f>
        <v>#N/A</v>
      </c>
      <c r="BO243" s="10" t="e">
        <f t="shared" ca="1" si="639"/>
        <v>#N/A</v>
      </c>
      <c r="BP243" s="104" t="e">
        <f t="shared" ca="1" si="647"/>
        <v>#N/A</v>
      </c>
      <c r="BQ243" s="104">
        <f t="shared" ca="1" si="500"/>
        <v>-58948.70248126646</v>
      </c>
      <c r="BR243" s="10">
        <f t="shared" si="517"/>
        <v>9.9166666666666661</v>
      </c>
      <c r="BS243" s="311"/>
      <c r="BT243" s="307"/>
      <c r="BU243" s="295">
        <f t="shared" si="518"/>
        <v>0</v>
      </c>
      <c r="BV243" s="323"/>
      <c r="BW243" s="299">
        <f t="shared" si="519"/>
        <v>0</v>
      </c>
      <c r="BX243" s="295">
        <f t="shared" si="520"/>
        <v>0</v>
      </c>
      <c r="BY243" s="382"/>
      <c r="BZ243" s="299">
        <f t="shared" si="528"/>
        <v>0</v>
      </c>
      <c r="CA243" s="295">
        <f t="shared" si="540"/>
        <v>0</v>
      </c>
      <c r="CB243" s="323"/>
      <c r="CC243" s="314">
        <f>Q243/AQ243*100+BS243/AQ243*100</f>
        <v>0</v>
      </c>
      <c r="CD243" s="326"/>
      <c r="CE243" s="299">
        <f t="shared" si="521"/>
        <v>0</v>
      </c>
      <c r="CF243" s="284">
        <f>CE243-CA243</f>
        <v>0</v>
      </c>
      <c r="CG243" s="323"/>
      <c r="CH243" s="302">
        <f t="shared" si="558"/>
        <v>0</v>
      </c>
      <c r="CI243" s="108">
        <f t="shared" si="522"/>
        <v>0</v>
      </c>
      <c r="CJ243" s="200">
        <f t="shared" si="523"/>
        <v>0</v>
      </c>
      <c r="CK243" s="197">
        <f t="shared" si="549"/>
        <v>0</v>
      </c>
      <c r="CL243" s="203">
        <f t="shared" si="524"/>
        <v>12</v>
      </c>
      <c r="CM243" s="4">
        <f>U243*Jahresdaten!$AD$2</f>
        <v>0</v>
      </c>
      <c r="CN243" s="112">
        <f>CJ243*Jahresdaten!$AD$2</f>
        <v>0</v>
      </c>
      <c r="CO243" s="366"/>
      <c r="CP243" s="116">
        <f>U243*Jahresdaten!$AD$3</f>
        <v>0</v>
      </c>
      <c r="CQ243" s="12">
        <f>CJ243*Jahresdaten!$AD$3</f>
        <v>0</v>
      </c>
      <c r="CR243" s="353"/>
      <c r="CS243" s="14"/>
      <c r="CT243" s="136"/>
      <c r="CU243" s="140" t="str">
        <f>IF(CT243=0,"",CT243*'Vergleich Holz Strom'!$B$2)</f>
        <v/>
      </c>
      <c r="CV243" s="353">
        <f>SUM(CJ242:CJ253)</f>
        <v>0</v>
      </c>
      <c r="CW243" s="366"/>
      <c r="CX243" s="345"/>
      <c r="CY243" s="345"/>
      <c r="CZ243" s="345"/>
      <c r="DA243" s="348"/>
      <c r="DB243" s="94"/>
      <c r="DC243" s="88">
        <f t="shared" si="632"/>
        <v>40746.678000000022</v>
      </c>
      <c r="DD243" s="94"/>
      <c r="DE243" s="88">
        <f t="shared" si="634"/>
        <v>-31999.112547000001</v>
      </c>
      <c r="DF243" s="100" t="e">
        <f ca="1">BE243+(SUM(CS242:CS253)/12)</f>
        <v>#N/A</v>
      </c>
      <c r="DG243" s="351"/>
      <c r="DH243" s="8">
        <f t="shared" ref="DH243:DH253" si="651">DH242+M243+S243+U243</f>
        <v>0</v>
      </c>
      <c r="DI243" s="123">
        <f t="shared" si="648"/>
        <v>3550</v>
      </c>
      <c r="DJ243" s="2">
        <f t="shared" ref="DJ243:DJ253" si="652">DJ242+M243</f>
        <v>0</v>
      </c>
      <c r="DK243" s="127">
        <f>DK253/12*2</f>
        <v>1300</v>
      </c>
      <c r="DL243" s="2">
        <f t="shared" si="618"/>
        <v>650</v>
      </c>
      <c r="DM243" s="130">
        <f t="shared" ref="DM243:DM253" si="653">DM242+S243</f>
        <v>0</v>
      </c>
      <c r="DN243" s="3">
        <f>DN253/12*2</f>
        <v>500</v>
      </c>
      <c r="DO243" s="130">
        <f t="shared" si="620"/>
        <v>250</v>
      </c>
      <c r="DP243" s="4">
        <f t="shared" ref="DP243:DP253" si="654">DP242+U243</f>
        <v>0</v>
      </c>
      <c r="DQ243" s="116">
        <f t="shared" ref="DQ243:DQ252" si="655">DQ242+DR243</f>
        <v>1750</v>
      </c>
      <c r="DR243" s="116">
        <f>DR231</f>
        <v>800</v>
      </c>
    </row>
    <row r="244" spans="1:122" ht="14.25" customHeight="1" thickBot="1" x14ac:dyDescent="0.2">
      <c r="A244" s="416"/>
      <c r="B244" s="16">
        <v>50740</v>
      </c>
      <c r="C244" s="207">
        <f>'PV-Felder'!$I$13</f>
        <v>559.9</v>
      </c>
      <c r="D244" s="351"/>
      <c r="E244" s="61">
        <v>0</v>
      </c>
      <c r="F244" s="351"/>
      <c r="G244" s="56" t="e">
        <f t="shared" ca="1" si="509"/>
        <v>#N/A</v>
      </c>
      <c r="H244" s="351"/>
      <c r="I244" s="61">
        <v>0</v>
      </c>
      <c r="J244" s="351"/>
      <c r="K244" s="61">
        <v>0</v>
      </c>
      <c r="L244" s="351"/>
      <c r="M244" s="65">
        <f t="shared" si="536"/>
        <v>0</v>
      </c>
      <c r="N244" s="373"/>
      <c r="O244" s="288"/>
      <c r="P244" s="288"/>
      <c r="Q244" s="286">
        <f t="shared" si="510"/>
        <v>0</v>
      </c>
      <c r="R244" s="334"/>
      <c r="S244" s="61">
        <v>0</v>
      </c>
      <c r="T244" s="376"/>
      <c r="U244" s="61">
        <v>0</v>
      </c>
      <c r="V244" s="342"/>
      <c r="W244" s="61">
        <v>0</v>
      </c>
      <c r="X244" s="342"/>
      <c r="Y244" s="211" t="e">
        <f t="shared" si="612"/>
        <v>#N/A</v>
      </c>
      <c r="Z244" s="370"/>
      <c r="AA244" s="61">
        <v>0</v>
      </c>
      <c r="AB244" s="351"/>
      <c r="AC244" s="61">
        <v>0</v>
      </c>
      <c r="AD244" s="351"/>
      <c r="AE244" s="73" t="e">
        <f t="shared" si="642"/>
        <v>#N/A</v>
      </c>
      <c r="AF244" s="356"/>
      <c r="AG244" s="73" t="e">
        <f t="shared" si="643"/>
        <v>#N/A</v>
      </c>
      <c r="AH244" s="356"/>
      <c r="AI244" s="221">
        <f t="shared" ref="AI244:AI252" si="656">AI243</f>
        <v>29.26</v>
      </c>
      <c r="AJ244" s="78">
        <f t="shared" ref="AJ244:AN244" si="657">AJ243</f>
        <v>0.26750000000000002</v>
      </c>
      <c r="AK244" s="79">
        <f t="shared" si="657"/>
        <v>9.9166666666666661</v>
      </c>
      <c r="AL244" s="80">
        <f t="shared" si="657"/>
        <v>187</v>
      </c>
      <c r="AM244" s="78">
        <f t="shared" si="657"/>
        <v>9.737942583732058E-2</v>
      </c>
      <c r="AN244" s="80">
        <f t="shared" si="657"/>
        <v>143</v>
      </c>
      <c r="AO244" s="78">
        <f>AO243</f>
        <v>0.21099999999999999</v>
      </c>
      <c r="AP244" s="88">
        <f>AP243</f>
        <v>12</v>
      </c>
      <c r="AQ244" s="64">
        <f t="shared" si="545"/>
        <v>21.5</v>
      </c>
      <c r="AR244" s="64">
        <f t="shared" si="546"/>
        <v>11.5</v>
      </c>
      <c r="AS244" s="88">
        <f t="shared" si="547"/>
        <v>1.1830000000000001</v>
      </c>
      <c r="AT244" s="91">
        <f t="shared" si="625"/>
        <v>0</v>
      </c>
      <c r="AU244" s="94"/>
      <c r="AV244" s="95"/>
      <c r="AW244" s="56">
        <f t="shared" si="512"/>
        <v>0</v>
      </c>
      <c r="AX244" s="351"/>
      <c r="AY244" s="100">
        <f t="shared" si="551"/>
        <v>9.9166666666666661</v>
      </c>
      <c r="AZ244" s="360"/>
      <c r="BA244" s="91">
        <f t="shared" si="650"/>
        <v>-2335.0292136666685</v>
      </c>
      <c r="BB244" s="5">
        <f t="shared" si="645"/>
        <v>-9.9166666666666661</v>
      </c>
      <c r="BC244" s="363"/>
      <c r="BD244" s="91" t="e">
        <f t="shared" ca="1" si="513"/>
        <v>#N/A</v>
      </c>
      <c r="BE244" s="91" t="e">
        <f t="shared" ca="1" si="514"/>
        <v>#N/A</v>
      </c>
      <c r="BF244" s="91">
        <f t="shared" si="515"/>
        <v>31.833333333333329</v>
      </c>
      <c r="BG244" s="91" t="e">
        <f t="shared" ca="1" si="516"/>
        <v>#N/A</v>
      </c>
      <c r="BH244" s="91" t="e">
        <f t="shared" ca="1" si="561"/>
        <v>#N/A</v>
      </c>
      <c r="BI244" s="10" t="e">
        <f t="shared" ca="1" si="539"/>
        <v>#N/A</v>
      </c>
      <c r="BJ244" s="104">
        <f>((M244+Q244)*AJ244+AK244)+((U244-W244+W244/('Vergleich Holz Strom'!$B$8-0.6))*AO244+AP244)</f>
        <v>21.916666666666664</v>
      </c>
      <c r="BK244" s="10" t="e">
        <f t="shared" ca="1" si="646"/>
        <v>#N/A</v>
      </c>
      <c r="BL244" s="379"/>
      <c r="BM244" s="104" t="e">
        <f t="shared" ca="1" si="527"/>
        <v>#N/A</v>
      </c>
      <c r="BN244" s="40" t="e">
        <f ca="1">IF(ISNUMBER(BK244),BN243+SUMIF(BK242:BK253,"&lt;&gt;#NV",BK242:BK253)/COUNTIF(BK242:BK253,"&lt;&gt;#NV"),#N/A)</f>
        <v>#N/A</v>
      </c>
      <c r="BO244" s="10" t="e">
        <f t="shared" ca="1" si="639"/>
        <v>#N/A</v>
      </c>
      <c r="BP244" s="104" t="e">
        <f t="shared" ca="1" si="647"/>
        <v>#N/A</v>
      </c>
      <c r="BQ244" s="104">
        <f t="shared" ca="1" si="500"/>
        <v>-58936.70248126646</v>
      </c>
      <c r="BR244" s="10">
        <f t="shared" si="517"/>
        <v>9.9166666666666661</v>
      </c>
      <c r="BS244" s="311"/>
      <c r="BT244" s="307"/>
      <c r="BU244" s="295">
        <f t="shared" si="518"/>
        <v>0</v>
      </c>
      <c r="BV244" s="323"/>
      <c r="BW244" s="299">
        <f t="shared" si="519"/>
        <v>0</v>
      </c>
      <c r="BX244" s="295">
        <f t="shared" si="520"/>
        <v>0</v>
      </c>
      <c r="BY244" s="382"/>
      <c r="BZ244" s="299">
        <f t="shared" si="528"/>
        <v>0</v>
      </c>
      <c r="CA244" s="295">
        <f t="shared" si="540"/>
        <v>0</v>
      </c>
      <c r="CB244" s="323"/>
      <c r="CC244" s="314">
        <f t="shared" ref="CC244:CC254" si="658">Q244/AQ244*100+BS244/AQ244*100</f>
        <v>0</v>
      </c>
      <c r="CD244" s="326"/>
      <c r="CE244" s="299">
        <f t="shared" si="521"/>
        <v>0</v>
      </c>
      <c r="CF244" s="284">
        <f t="shared" ref="CF244:CF254" si="659">CE244-CA244</f>
        <v>0</v>
      </c>
      <c r="CG244" s="323"/>
      <c r="CH244" s="302">
        <f t="shared" si="558"/>
        <v>0</v>
      </c>
      <c r="CI244" s="108">
        <f t="shared" si="522"/>
        <v>0</v>
      </c>
      <c r="CJ244" s="200">
        <f t="shared" si="523"/>
        <v>0</v>
      </c>
      <c r="CK244" s="197">
        <f t="shared" si="549"/>
        <v>0</v>
      </c>
      <c r="CL244" s="203">
        <f t="shared" si="524"/>
        <v>12</v>
      </c>
      <c r="CM244" s="4">
        <f>U244*Jahresdaten!$AD$2</f>
        <v>0</v>
      </c>
      <c r="CN244" s="112">
        <f>CJ244*Jahresdaten!$AD$2</f>
        <v>0</v>
      </c>
      <c r="CO244" s="366"/>
      <c r="CP244" s="116">
        <f>U244*Jahresdaten!$AD$3</f>
        <v>0</v>
      </c>
      <c r="CQ244" s="12">
        <f>CJ244*Jahresdaten!$AD$3</f>
        <v>0</v>
      </c>
      <c r="CR244" s="353"/>
      <c r="CS244" s="14"/>
      <c r="CT244" s="136"/>
      <c r="CU244" s="140" t="str">
        <f>IF(CT244=0,"",CT244*'Vergleich Holz Strom'!$B$2)</f>
        <v/>
      </c>
      <c r="CV244" s="353"/>
      <c r="CW244" s="366"/>
      <c r="CX244" s="345"/>
      <c r="CY244" s="345"/>
      <c r="CZ244" s="345"/>
      <c r="DA244" s="348"/>
      <c r="DB244" s="94"/>
      <c r="DC244" s="88">
        <f t="shared" si="632"/>
        <v>40923.761333333357</v>
      </c>
      <c r="DD244" s="94"/>
      <c r="DE244" s="88">
        <f t="shared" si="634"/>
        <v>-32142.112547000001</v>
      </c>
      <c r="DF244" s="100" t="e">
        <f ca="1">BE244+(SUM(CS242:CS253)/12)</f>
        <v>#N/A</v>
      </c>
      <c r="DG244" s="351"/>
      <c r="DH244" s="8">
        <f t="shared" si="651"/>
        <v>0</v>
      </c>
      <c r="DI244" s="123">
        <f t="shared" si="648"/>
        <v>5300</v>
      </c>
      <c r="DJ244" s="2">
        <f t="shared" si="652"/>
        <v>0</v>
      </c>
      <c r="DK244" s="127">
        <f>DK253/12*3</f>
        <v>1950</v>
      </c>
      <c r="DL244" s="2">
        <f t="shared" si="618"/>
        <v>650</v>
      </c>
      <c r="DM244" s="130">
        <f t="shared" si="653"/>
        <v>0</v>
      </c>
      <c r="DN244" s="3">
        <f>DN253/12*3</f>
        <v>750</v>
      </c>
      <c r="DO244" s="130">
        <f t="shared" si="620"/>
        <v>250</v>
      </c>
      <c r="DP244" s="4">
        <f t="shared" si="654"/>
        <v>0</v>
      </c>
      <c r="DQ244" s="116">
        <f t="shared" si="655"/>
        <v>2600</v>
      </c>
      <c r="DR244" s="116">
        <f t="shared" ref="DR244:DR252" si="660">DR232</f>
        <v>850.00000000000011</v>
      </c>
    </row>
    <row r="245" spans="1:122" ht="14.25" customHeight="1" thickBot="1" x14ac:dyDescent="0.2">
      <c r="A245" s="416"/>
      <c r="B245" s="16">
        <v>50771</v>
      </c>
      <c r="C245" s="207">
        <f>'PV-Felder'!$I$2</f>
        <v>660.80000000000007</v>
      </c>
      <c r="D245" s="351"/>
      <c r="E245" s="61">
        <v>0</v>
      </c>
      <c r="F245" s="351"/>
      <c r="G245" s="56" t="e">
        <f t="shared" ca="1" si="509"/>
        <v>#N/A</v>
      </c>
      <c r="H245" s="351"/>
      <c r="I245" s="61">
        <v>0</v>
      </c>
      <c r="J245" s="351"/>
      <c r="K245" s="61">
        <v>0</v>
      </c>
      <c r="L245" s="351"/>
      <c r="M245" s="65">
        <f t="shared" si="536"/>
        <v>0</v>
      </c>
      <c r="N245" s="373"/>
      <c r="O245" s="288"/>
      <c r="P245" s="288"/>
      <c r="Q245" s="286">
        <f t="shared" si="510"/>
        <v>0</v>
      </c>
      <c r="R245" s="334"/>
      <c r="S245" s="61">
        <v>0</v>
      </c>
      <c r="T245" s="376"/>
      <c r="U245" s="61">
        <v>0</v>
      </c>
      <c r="V245" s="342"/>
      <c r="W245" s="61">
        <v>0</v>
      </c>
      <c r="X245" s="342"/>
      <c r="Y245" s="211" t="e">
        <f t="shared" si="612"/>
        <v>#N/A</v>
      </c>
      <c r="Z245" s="370"/>
      <c r="AA245" s="61">
        <v>0</v>
      </c>
      <c r="AB245" s="351"/>
      <c r="AC245" s="61">
        <v>0</v>
      </c>
      <c r="AD245" s="351"/>
      <c r="AE245" s="73" t="e">
        <f t="shared" si="642"/>
        <v>#N/A</v>
      </c>
      <c r="AF245" s="356"/>
      <c r="AG245" s="73" t="e">
        <f t="shared" si="643"/>
        <v>#N/A</v>
      </c>
      <c r="AH245" s="356"/>
      <c r="AI245" s="221">
        <f t="shared" si="656"/>
        <v>29.26</v>
      </c>
      <c r="AJ245" s="78">
        <f t="shared" ref="AJ245:AP245" si="661">AJ244</f>
        <v>0.26750000000000002</v>
      </c>
      <c r="AK245" s="79">
        <f t="shared" si="661"/>
        <v>9.9166666666666661</v>
      </c>
      <c r="AL245" s="80">
        <f t="shared" si="661"/>
        <v>187</v>
      </c>
      <c r="AM245" s="78">
        <f t="shared" si="661"/>
        <v>9.737942583732058E-2</v>
      </c>
      <c r="AN245" s="80">
        <f t="shared" si="661"/>
        <v>143</v>
      </c>
      <c r="AO245" s="78">
        <f t="shared" si="661"/>
        <v>0.21099999999999999</v>
      </c>
      <c r="AP245" s="88">
        <f t="shared" si="661"/>
        <v>12</v>
      </c>
      <c r="AQ245" s="64">
        <f t="shared" si="545"/>
        <v>21.5</v>
      </c>
      <c r="AR245" s="64">
        <f t="shared" si="546"/>
        <v>11.5</v>
      </c>
      <c r="AS245" s="88">
        <f t="shared" si="547"/>
        <v>1.1830000000000001</v>
      </c>
      <c r="AT245" s="91">
        <f t="shared" si="625"/>
        <v>0</v>
      </c>
      <c r="AU245" s="94"/>
      <c r="AV245" s="95"/>
      <c r="AW245" s="56">
        <f t="shared" si="512"/>
        <v>0</v>
      </c>
      <c r="AX245" s="351"/>
      <c r="AY245" s="100">
        <f t="shared" si="551"/>
        <v>9.9166666666666661</v>
      </c>
      <c r="AZ245" s="360"/>
      <c r="BA245" s="91">
        <f t="shared" si="650"/>
        <v>-2344.945880333335</v>
      </c>
      <c r="BB245" s="5">
        <f t="shared" si="645"/>
        <v>-9.9166666666666661</v>
      </c>
      <c r="BC245" s="363"/>
      <c r="BD245" s="91" t="e">
        <f t="shared" ca="1" si="513"/>
        <v>#N/A</v>
      </c>
      <c r="BE245" s="91" t="e">
        <f t="shared" ca="1" si="514"/>
        <v>#N/A</v>
      </c>
      <c r="BF245" s="91">
        <f t="shared" si="515"/>
        <v>31.833333333333329</v>
      </c>
      <c r="BG245" s="91" t="e">
        <f t="shared" ca="1" si="516"/>
        <v>#N/A</v>
      </c>
      <c r="BH245" s="91" t="e">
        <f t="shared" ca="1" si="561"/>
        <v>#N/A</v>
      </c>
      <c r="BI245" s="10" t="e">
        <f t="shared" ca="1" si="539"/>
        <v>#N/A</v>
      </c>
      <c r="BJ245" s="104">
        <f>((M245+Q245)*AJ245+AK245)+((U245-W245+W245/('Vergleich Holz Strom'!$B$8-0.6))*AO245+AP245)</f>
        <v>21.916666666666664</v>
      </c>
      <c r="BK245" s="10" t="e">
        <f t="shared" ca="1" si="646"/>
        <v>#N/A</v>
      </c>
      <c r="BL245" s="379"/>
      <c r="BM245" s="104" t="e">
        <f t="shared" ca="1" si="527"/>
        <v>#N/A</v>
      </c>
      <c r="BN245" s="40" t="e">
        <f ca="1">IF(ISNUMBER(BK245),BN244+SUMIF(BK242:BK253,"&lt;&gt;#NV",BK242:BK253)/COUNTIF(BK242:BK253,"&lt;&gt;#NV"),#N/A)</f>
        <v>#N/A</v>
      </c>
      <c r="BO245" s="10" t="e">
        <f t="shared" ca="1" si="639"/>
        <v>#N/A</v>
      </c>
      <c r="BP245" s="104" t="e">
        <f t="shared" ca="1" si="647"/>
        <v>#N/A</v>
      </c>
      <c r="BQ245" s="104">
        <f t="shared" ca="1" si="500"/>
        <v>-58924.70248126646</v>
      </c>
      <c r="BR245" s="10">
        <f t="shared" si="517"/>
        <v>9.9166666666666661</v>
      </c>
      <c r="BS245" s="311"/>
      <c r="BT245" s="307"/>
      <c r="BU245" s="295">
        <f t="shared" si="518"/>
        <v>0</v>
      </c>
      <c r="BV245" s="323"/>
      <c r="BW245" s="299">
        <f t="shared" si="519"/>
        <v>0</v>
      </c>
      <c r="BX245" s="295">
        <f t="shared" si="520"/>
        <v>0</v>
      </c>
      <c r="BY245" s="382"/>
      <c r="BZ245" s="299">
        <f t="shared" si="528"/>
        <v>0</v>
      </c>
      <c r="CA245" s="295">
        <f t="shared" si="540"/>
        <v>0</v>
      </c>
      <c r="CB245" s="323"/>
      <c r="CC245" s="314">
        <f t="shared" si="658"/>
        <v>0</v>
      </c>
      <c r="CD245" s="326"/>
      <c r="CE245" s="299">
        <f t="shared" si="521"/>
        <v>0</v>
      </c>
      <c r="CF245" s="284">
        <f t="shared" si="659"/>
        <v>0</v>
      </c>
      <c r="CG245" s="323"/>
      <c r="CH245" s="302">
        <f t="shared" si="558"/>
        <v>0</v>
      </c>
      <c r="CI245" s="108">
        <f t="shared" si="522"/>
        <v>0</v>
      </c>
      <c r="CJ245" s="200">
        <f t="shared" si="523"/>
        <v>0</v>
      </c>
      <c r="CK245" s="197">
        <f t="shared" si="549"/>
        <v>0</v>
      </c>
      <c r="CL245" s="203">
        <f t="shared" si="524"/>
        <v>12</v>
      </c>
      <c r="CM245" s="4">
        <f>U245*Jahresdaten!$AD$2</f>
        <v>0</v>
      </c>
      <c r="CN245" s="112">
        <f>CJ245*Jahresdaten!$AD$2</f>
        <v>0</v>
      </c>
      <c r="CO245" s="366"/>
      <c r="CP245" s="116">
        <f>U245*Jahresdaten!$AD$3</f>
        <v>0</v>
      </c>
      <c r="CQ245" s="12">
        <f>CJ245*Jahresdaten!$AD$3</f>
        <v>0</v>
      </c>
      <c r="CR245" s="353"/>
      <c r="CS245" s="14"/>
      <c r="CT245" s="136"/>
      <c r="CU245" s="140" t="str">
        <f>IF(CT245=0,"",CT245*'Vergleich Holz Strom'!$B$2)</f>
        <v/>
      </c>
      <c r="CV245" s="353"/>
      <c r="CW245" s="366"/>
      <c r="CX245" s="345"/>
      <c r="CY245" s="345"/>
      <c r="CZ245" s="345"/>
      <c r="DA245" s="348"/>
      <c r="DB245" s="94"/>
      <c r="DC245" s="88">
        <f t="shared" si="632"/>
        <v>41100.844666666693</v>
      </c>
      <c r="DD245" s="94"/>
      <c r="DE245" s="88">
        <f t="shared" si="634"/>
        <v>-32285.112547000001</v>
      </c>
      <c r="DF245" s="100" t="e">
        <f ca="1">BE245+(SUM(CS242:CS253)/12)</f>
        <v>#N/A</v>
      </c>
      <c r="DG245" s="351"/>
      <c r="DH245" s="8">
        <f t="shared" si="651"/>
        <v>0</v>
      </c>
      <c r="DI245" s="123">
        <f t="shared" si="648"/>
        <v>7350</v>
      </c>
      <c r="DJ245" s="2">
        <f t="shared" si="652"/>
        <v>0</v>
      </c>
      <c r="DK245" s="127">
        <f>DK253/12*4</f>
        <v>2600</v>
      </c>
      <c r="DL245" s="2">
        <f t="shared" si="618"/>
        <v>650</v>
      </c>
      <c r="DM245" s="130">
        <f t="shared" si="653"/>
        <v>0</v>
      </c>
      <c r="DN245" s="3">
        <f>DN253/12*4</f>
        <v>1000</v>
      </c>
      <c r="DO245" s="130">
        <f t="shared" si="620"/>
        <v>250</v>
      </c>
      <c r="DP245" s="4">
        <f t="shared" si="654"/>
        <v>0</v>
      </c>
      <c r="DQ245" s="116">
        <f t="shared" si="655"/>
        <v>3750</v>
      </c>
      <c r="DR245" s="116">
        <f t="shared" si="660"/>
        <v>1150</v>
      </c>
    </row>
    <row r="246" spans="1:122" ht="14.25" customHeight="1" thickBot="1" x14ac:dyDescent="0.2">
      <c r="A246" s="416"/>
      <c r="B246" s="16">
        <v>50802</v>
      </c>
      <c r="C246" s="207">
        <f>'PV-Felder'!$I$3</f>
        <v>922.2</v>
      </c>
      <c r="D246" s="351"/>
      <c r="E246" s="61">
        <v>0</v>
      </c>
      <c r="F246" s="351"/>
      <c r="G246" s="56" t="e">
        <f t="shared" ca="1" si="509"/>
        <v>#N/A</v>
      </c>
      <c r="H246" s="351"/>
      <c r="I246" s="61">
        <v>0</v>
      </c>
      <c r="J246" s="351"/>
      <c r="K246" s="61">
        <v>0</v>
      </c>
      <c r="L246" s="351"/>
      <c r="M246" s="65">
        <f t="shared" si="536"/>
        <v>0</v>
      </c>
      <c r="N246" s="373"/>
      <c r="O246" s="288"/>
      <c r="P246" s="288"/>
      <c r="Q246" s="286">
        <f t="shared" si="510"/>
        <v>0</v>
      </c>
      <c r="R246" s="334"/>
      <c r="S246" s="61">
        <v>0</v>
      </c>
      <c r="T246" s="376"/>
      <c r="U246" s="61">
        <v>0</v>
      </c>
      <c r="V246" s="342"/>
      <c r="W246" s="61">
        <v>0</v>
      </c>
      <c r="X246" s="342"/>
      <c r="Y246" s="211" t="e">
        <f t="shared" si="612"/>
        <v>#N/A</v>
      </c>
      <c r="Z246" s="370"/>
      <c r="AA246" s="61">
        <v>0</v>
      </c>
      <c r="AB246" s="351"/>
      <c r="AC246" s="61">
        <v>0</v>
      </c>
      <c r="AD246" s="351"/>
      <c r="AE246" s="73" t="e">
        <f t="shared" si="642"/>
        <v>#N/A</v>
      </c>
      <c r="AF246" s="356"/>
      <c r="AG246" s="73" t="e">
        <f t="shared" si="643"/>
        <v>#N/A</v>
      </c>
      <c r="AH246" s="356"/>
      <c r="AI246" s="221">
        <f t="shared" si="656"/>
        <v>29.26</v>
      </c>
      <c r="AJ246" s="78">
        <f t="shared" ref="AJ246:AP246" si="662">AJ245</f>
        <v>0.26750000000000002</v>
      </c>
      <c r="AK246" s="79">
        <f t="shared" si="662"/>
        <v>9.9166666666666661</v>
      </c>
      <c r="AL246" s="80">
        <f t="shared" si="662"/>
        <v>187</v>
      </c>
      <c r="AM246" s="78">
        <f t="shared" si="662"/>
        <v>9.737942583732058E-2</v>
      </c>
      <c r="AN246" s="80">
        <f t="shared" si="662"/>
        <v>143</v>
      </c>
      <c r="AO246" s="78">
        <f t="shared" si="662"/>
        <v>0.21099999999999999</v>
      </c>
      <c r="AP246" s="88">
        <f t="shared" si="662"/>
        <v>12</v>
      </c>
      <c r="AQ246" s="64">
        <f t="shared" si="545"/>
        <v>21.5</v>
      </c>
      <c r="AR246" s="64">
        <f t="shared" si="546"/>
        <v>11.5</v>
      </c>
      <c r="AS246" s="88">
        <f t="shared" si="547"/>
        <v>1.1830000000000001</v>
      </c>
      <c r="AT246" s="91">
        <f t="shared" si="625"/>
        <v>0</v>
      </c>
      <c r="AU246" s="94"/>
      <c r="AV246" s="95"/>
      <c r="AW246" s="56">
        <f t="shared" si="512"/>
        <v>0</v>
      </c>
      <c r="AX246" s="351"/>
      <c r="AY246" s="100">
        <f t="shared" si="551"/>
        <v>9.9166666666666661</v>
      </c>
      <c r="AZ246" s="360"/>
      <c r="BA246" s="91">
        <f t="shared" si="650"/>
        <v>-2354.8625470000015</v>
      </c>
      <c r="BB246" s="5">
        <f t="shared" si="645"/>
        <v>-9.9166666666666661</v>
      </c>
      <c r="BC246" s="363"/>
      <c r="BD246" s="91" t="e">
        <f t="shared" ca="1" si="513"/>
        <v>#N/A</v>
      </c>
      <c r="BE246" s="91" t="e">
        <f t="shared" ca="1" si="514"/>
        <v>#N/A</v>
      </c>
      <c r="BF246" s="91">
        <f t="shared" si="515"/>
        <v>31.833333333333329</v>
      </c>
      <c r="BG246" s="91" t="e">
        <f t="shared" ca="1" si="516"/>
        <v>#N/A</v>
      </c>
      <c r="BH246" s="91" t="e">
        <f t="shared" ca="1" si="561"/>
        <v>#N/A</v>
      </c>
      <c r="BI246" s="10" t="e">
        <f t="shared" ca="1" si="539"/>
        <v>#N/A</v>
      </c>
      <c r="BJ246" s="104">
        <f>((M246+Q246)*AJ246+AK246)+((U246-W246+W246/('Vergleich Holz Strom'!$B$8-0.6))*AO246+AP246)</f>
        <v>21.916666666666664</v>
      </c>
      <c r="BK246" s="10" t="e">
        <f t="shared" ca="1" si="646"/>
        <v>#N/A</v>
      </c>
      <c r="BL246" s="379"/>
      <c r="BM246" s="104" t="e">
        <f t="shared" ca="1" si="527"/>
        <v>#N/A</v>
      </c>
      <c r="BN246" s="40" t="e">
        <f ca="1">IF(ISNUMBER(BK246),BN245+SUMIF(BK242:BK253,"&lt;&gt;#NV",BK242:BK253)/COUNTIF(BK242:BK253,"&lt;&gt;#NV"),#N/A)</f>
        <v>#N/A</v>
      </c>
      <c r="BO246" s="10" t="e">
        <f t="shared" ca="1" si="639"/>
        <v>#N/A</v>
      </c>
      <c r="BP246" s="104" t="e">
        <f t="shared" ca="1" si="647"/>
        <v>#N/A</v>
      </c>
      <c r="BQ246" s="104">
        <f t="shared" ca="1" si="500"/>
        <v>-58905.502481266463</v>
      </c>
      <c r="BR246" s="10">
        <f t="shared" si="517"/>
        <v>9.9166666666666661</v>
      </c>
      <c r="BS246" s="311"/>
      <c r="BT246" s="307"/>
      <c r="BU246" s="295">
        <f t="shared" si="518"/>
        <v>0</v>
      </c>
      <c r="BV246" s="323"/>
      <c r="BW246" s="299">
        <f t="shared" si="519"/>
        <v>0</v>
      </c>
      <c r="BX246" s="295">
        <f t="shared" si="520"/>
        <v>0</v>
      </c>
      <c r="BY246" s="382"/>
      <c r="BZ246" s="299">
        <f t="shared" si="528"/>
        <v>0</v>
      </c>
      <c r="CA246" s="295">
        <f t="shared" si="540"/>
        <v>0</v>
      </c>
      <c r="CB246" s="323"/>
      <c r="CC246" s="314">
        <f t="shared" si="658"/>
        <v>0</v>
      </c>
      <c r="CD246" s="326"/>
      <c r="CE246" s="299">
        <f t="shared" si="521"/>
        <v>0</v>
      </c>
      <c r="CF246" s="284">
        <f t="shared" si="659"/>
        <v>0</v>
      </c>
      <c r="CG246" s="323"/>
      <c r="CH246" s="302">
        <f t="shared" si="558"/>
        <v>0</v>
      </c>
      <c r="CI246" s="108">
        <f t="shared" si="522"/>
        <v>0</v>
      </c>
      <c r="CJ246" s="200">
        <f t="shared" si="523"/>
        <v>0</v>
      </c>
      <c r="CK246" s="197">
        <f t="shared" si="549"/>
        <v>0</v>
      </c>
      <c r="CL246" s="203">
        <f t="shared" si="524"/>
        <v>12</v>
      </c>
      <c r="CM246" s="4">
        <f>U246*Jahresdaten!$AD$2</f>
        <v>0</v>
      </c>
      <c r="CN246" s="112">
        <f>CJ246*Jahresdaten!$AD$2</f>
        <v>0</v>
      </c>
      <c r="CO246" s="366"/>
      <c r="CP246" s="116">
        <f>U246*Jahresdaten!$AD$3</f>
        <v>0</v>
      </c>
      <c r="CQ246" s="12">
        <f>CJ246*Jahresdaten!$AD$3</f>
        <v>0</v>
      </c>
      <c r="CR246" s="353"/>
      <c r="CS246" s="14"/>
      <c r="CT246" s="136"/>
      <c r="CU246" s="140" t="str">
        <f>IF(CT246=0,"",CT246*'Vergleich Holz Strom'!$B$2)</f>
        <v/>
      </c>
      <c r="CV246" s="353"/>
      <c r="CW246" s="366"/>
      <c r="CX246" s="345"/>
      <c r="CY246" s="345"/>
      <c r="CZ246" s="345"/>
      <c r="DA246" s="348"/>
      <c r="DB246" s="94"/>
      <c r="DC246" s="88">
        <f t="shared" si="632"/>
        <v>41277.928000000029</v>
      </c>
      <c r="DD246" s="94"/>
      <c r="DE246" s="88">
        <f t="shared" si="634"/>
        <v>-32428.112547000001</v>
      </c>
      <c r="DF246" s="100" t="e">
        <f ca="1">BE246+(SUM(CS242:CS253)/12)</f>
        <v>#N/A</v>
      </c>
      <c r="DG246" s="351"/>
      <c r="DH246" s="8">
        <f t="shared" si="651"/>
        <v>0</v>
      </c>
      <c r="DI246" s="123">
        <f t="shared" si="648"/>
        <v>9600</v>
      </c>
      <c r="DJ246" s="2">
        <f t="shared" si="652"/>
        <v>0</v>
      </c>
      <c r="DK246" s="127">
        <f>DK253/12*5</f>
        <v>3250</v>
      </c>
      <c r="DL246" s="2">
        <f t="shared" si="618"/>
        <v>650</v>
      </c>
      <c r="DM246" s="130">
        <f t="shared" si="653"/>
        <v>0</v>
      </c>
      <c r="DN246" s="3">
        <f>DN253/12*5</f>
        <v>1250</v>
      </c>
      <c r="DO246" s="130">
        <f t="shared" si="620"/>
        <v>250</v>
      </c>
      <c r="DP246" s="4">
        <f t="shared" si="654"/>
        <v>0</v>
      </c>
      <c r="DQ246" s="116">
        <f t="shared" si="655"/>
        <v>5100</v>
      </c>
      <c r="DR246" s="116">
        <f t="shared" si="660"/>
        <v>1350</v>
      </c>
    </row>
    <row r="247" spans="1:122" ht="14.25" customHeight="1" thickBot="1" x14ac:dyDescent="0.2">
      <c r="A247" s="416"/>
      <c r="B247" s="16">
        <v>50830</v>
      </c>
      <c r="C247" s="207">
        <f>'PV-Felder'!$I$4</f>
        <v>1860</v>
      </c>
      <c r="D247" s="351"/>
      <c r="E247" s="61">
        <v>0</v>
      </c>
      <c r="F247" s="351"/>
      <c r="G247" s="56" t="e">
        <f t="shared" ca="1" si="509"/>
        <v>#N/A</v>
      </c>
      <c r="H247" s="351"/>
      <c r="I247" s="61">
        <v>0</v>
      </c>
      <c r="J247" s="351"/>
      <c r="K247" s="61">
        <v>0</v>
      </c>
      <c r="L247" s="351"/>
      <c r="M247" s="65">
        <f t="shared" si="536"/>
        <v>0</v>
      </c>
      <c r="N247" s="373"/>
      <c r="O247" s="288"/>
      <c r="P247" s="288"/>
      <c r="Q247" s="286">
        <f t="shared" si="510"/>
        <v>0</v>
      </c>
      <c r="R247" s="334"/>
      <c r="S247" s="61">
        <v>0</v>
      </c>
      <c r="T247" s="376"/>
      <c r="U247" s="61">
        <v>0</v>
      </c>
      <c r="V247" s="342"/>
      <c r="W247" s="61">
        <v>0</v>
      </c>
      <c r="X247" s="342"/>
      <c r="Y247" s="211" t="e">
        <f t="shared" si="612"/>
        <v>#N/A</v>
      </c>
      <c r="Z247" s="370"/>
      <c r="AA247" s="61">
        <v>0</v>
      </c>
      <c r="AB247" s="351"/>
      <c r="AC247" s="61">
        <v>0</v>
      </c>
      <c r="AD247" s="351"/>
      <c r="AE247" s="73" t="e">
        <f t="shared" si="642"/>
        <v>#N/A</v>
      </c>
      <c r="AF247" s="356"/>
      <c r="AG247" s="73" t="e">
        <f t="shared" si="643"/>
        <v>#N/A</v>
      </c>
      <c r="AH247" s="356"/>
      <c r="AI247" s="221">
        <f t="shared" si="656"/>
        <v>29.26</v>
      </c>
      <c r="AJ247" s="78">
        <f t="shared" ref="AJ247:AP247" si="663">AJ246</f>
        <v>0.26750000000000002</v>
      </c>
      <c r="AK247" s="79">
        <f t="shared" si="663"/>
        <v>9.9166666666666661</v>
      </c>
      <c r="AL247" s="80">
        <f t="shared" si="663"/>
        <v>187</v>
      </c>
      <c r="AM247" s="78">
        <f t="shared" si="663"/>
        <v>9.737942583732058E-2</v>
      </c>
      <c r="AN247" s="80">
        <f t="shared" si="663"/>
        <v>143</v>
      </c>
      <c r="AO247" s="78">
        <f t="shared" si="663"/>
        <v>0.21099999999999999</v>
      </c>
      <c r="AP247" s="88">
        <f t="shared" si="663"/>
        <v>12</v>
      </c>
      <c r="AQ247" s="64">
        <f t="shared" si="545"/>
        <v>21.5</v>
      </c>
      <c r="AR247" s="64">
        <f t="shared" si="546"/>
        <v>11.5</v>
      </c>
      <c r="AS247" s="88">
        <f t="shared" si="547"/>
        <v>1.1830000000000001</v>
      </c>
      <c r="AT247" s="91">
        <f t="shared" si="625"/>
        <v>0</v>
      </c>
      <c r="AU247" s="94"/>
      <c r="AV247" s="95"/>
      <c r="AW247" s="56">
        <f t="shared" si="512"/>
        <v>0</v>
      </c>
      <c r="AX247" s="351"/>
      <c r="AY247" s="100">
        <f t="shared" si="551"/>
        <v>9.9166666666666661</v>
      </c>
      <c r="AZ247" s="360"/>
      <c r="BA247" s="91">
        <f t="shared" si="650"/>
        <v>-2364.7792136666681</v>
      </c>
      <c r="BB247" s="5">
        <f t="shared" si="645"/>
        <v>-9.9166666666666661</v>
      </c>
      <c r="BC247" s="363"/>
      <c r="BD247" s="91" t="e">
        <f t="shared" ca="1" si="513"/>
        <v>#N/A</v>
      </c>
      <c r="BE247" s="91" t="e">
        <f t="shared" ca="1" si="514"/>
        <v>#N/A</v>
      </c>
      <c r="BF247" s="91">
        <f t="shared" si="515"/>
        <v>31.833333333333329</v>
      </c>
      <c r="BG247" s="91" t="e">
        <f t="shared" ca="1" si="516"/>
        <v>#N/A</v>
      </c>
      <c r="BH247" s="91" t="e">
        <f t="shared" ca="1" si="561"/>
        <v>#N/A</v>
      </c>
      <c r="BI247" s="10" t="e">
        <f t="shared" ca="1" si="539"/>
        <v>#N/A</v>
      </c>
      <c r="BJ247" s="104">
        <f>((M247+Q247)*AJ247+AK247)+((U247-W247+W247/('Vergleich Holz Strom'!$B$8-0.6))*AO247+AP247)</f>
        <v>21.916666666666664</v>
      </c>
      <c r="BK247" s="10" t="e">
        <f t="shared" ca="1" si="646"/>
        <v>#N/A</v>
      </c>
      <c r="BL247" s="379"/>
      <c r="BM247" s="104" t="e">
        <f t="shared" ca="1" si="527"/>
        <v>#N/A</v>
      </c>
      <c r="BN247" s="40" t="e">
        <f ca="1">IF(ISNUMBER(BK247),BN246+SUMIF(BK242:BK253,"&lt;&gt;#NV",BK242:BK253)/COUNTIF(BK242:BK253,"&lt;&gt;#NV"),#N/A)</f>
        <v>#N/A</v>
      </c>
      <c r="BO247" s="10" t="e">
        <f t="shared" ca="1" si="639"/>
        <v>#N/A</v>
      </c>
      <c r="BP247" s="104" t="e">
        <f t="shared" ca="1" si="647"/>
        <v>#N/A</v>
      </c>
      <c r="BQ247" s="104">
        <f t="shared" ca="1" si="500"/>
        <v>-58886.302481266466</v>
      </c>
      <c r="BR247" s="10">
        <f t="shared" si="517"/>
        <v>9.9166666666666661</v>
      </c>
      <c r="BS247" s="311"/>
      <c r="BT247" s="307"/>
      <c r="BU247" s="295">
        <f t="shared" si="518"/>
        <v>0</v>
      </c>
      <c r="BV247" s="323"/>
      <c r="BW247" s="299">
        <f t="shared" si="519"/>
        <v>0</v>
      </c>
      <c r="BX247" s="295">
        <f t="shared" si="520"/>
        <v>0</v>
      </c>
      <c r="BY247" s="382"/>
      <c r="BZ247" s="299">
        <f t="shared" si="528"/>
        <v>0</v>
      </c>
      <c r="CA247" s="295">
        <f t="shared" si="540"/>
        <v>0</v>
      </c>
      <c r="CB247" s="323"/>
      <c r="CC247" s="314">
        <f t="shared" si="658"/>
        <v>0</v>
      </c>
      <c r="CD247" s="326"/>
      <c r="CE247" s="299">
        <f t="shared" si="521"/>
        <v>0</v>
      </c>
      <c r="CF247" s="284">
        <f t="shared" si="659"/>
        <v>0</v>
      </c>
      <c r="CG247" s="323"/>
      <c r="CH247" s="302">
        <f t="shared" si="558"/>
        <v>0</v>
      </c>
      <c r="CI247" s="108">
        <f t="shared" si="522"/>
        <v>0</v>
      </c>
      <c r="CJ247" s="200">
        <f t="shared" si="523"/>
        <v>0</v>
      </c>
      <c r="CK247" s="197">
        <f t="shared" si="549"/>
        <v>0</v>
      </c>
      <c r="CL247" s="203">
        <f t="shared" si="524"/>
        <v>12</v>
      </c>
      <c r="CM247" s="4">
        <f>U247*Jahresdaten!$AD$2</f>
        <v>0</v>
      </c>
      <c r="CN247" s="112">
        <f>CJ247*Jahresdaten!$AD$2</f>
        <v>0</v>
      </c>
      <c r="CO247" s="366"/>
      <c r="CP247" s="116">
        <f>U247*Jahresdaten!$AD$3</f>
        <v>0</v>
      </c>
      <c r="CQ247" s="12">
        <f>CJ247*Jahresdaten!$AD$3</f>
        <v>0</v>
      </c>
      <c r="CR247" s="353"/>
      <c r="CS247" s="14"/>
      <c r="CT247" s="136"/>
      <c r="CU247" s="140" t="str">
        <f>IF(CT247=0,"",CT247*'Vergleich Holz Strom'!$B$2)</f>
        <v/>
      </c>
      <c r="CV247" s="353"/>
      <c r="CW247" s="366"/>
      <c r="CX247" s="345"/>
      <c r="CY247" s="345"/>
      <c r="CZ247" s="345"/>
      <c r="DA247" s="348"/>
      <c r="DB247" s="94"/>
      <c r="DC247" s="88">
        <f t="shared" si="632"/>
        <v>41455.011333333365</v>
      </c>
      <c r="DD247" s="94"/>
      <c r="DE247" s="88">
        <f t="shared" si="634"/>
        <v>-32571.112547000001</v>
      </c>
      <c r="DF247" s="100" t="e">
        <f ca="1">BE247+(SUM(CS242:CS253)/12)</f>
        <v>#N/A</v>
      </c>
      <c r="DG247" s="351"/>
      <c r="DH247" s="8">
        <f t="shared" si="651"/>
        <v>0</v>
      </c>
      <c r="DI247" s="123">
        <f t="shared" si="648"/>
        <v>11850</v>
      </c>
      <c r="DJ247" s="2">
        <f t="shared" si="652"/>
        <v>0</v>
      </c>
      <c r="DK247" s="127">
        <f>DK253/12*6</f>
        <v>3900</v>
      </c>
      <c r="DL247" s="2">
        <f t="shared" si="618"/>
        <v>650</v>
      </c>
      <c r="DM247" s="130">
        <f t="shared" si="653"/>
        <v>0</v>
      </c>
      <c r="DN247" s="3">
        <f>DN253/12*6</f>
        <v>1500</v>
      </c>
      <c r="DO247" s="130">
        <f t="shared" si="620"/>
        <v>250</v>
      </c>
      <c r="DP247" s="4">
        <f t="shared" si="654"/>
        <v>0</v>
      </c>
      <c r="DQ247" s="116">
        <f t="shared" si="655"/>
        <v>6450</v>
      </c>
      <c r="DR247" s="116">
        <f t="shared" si="660"/>
        <v>1350</v>
      </c>
    </row>
    <row r="248" spans="1:122" ht="15" customHeight="1" thickBot="1" x14ac:dyDescent="0.2">
      <c r="A248" s="416"/>
      <c r="B248" s="16">
        <v>50861</v>
      </c>
      <c r="C248" s="207">
        <f>'PV-Felder'!$I$5</f>
        <v>2887.3</v>
      </c>
      <c r="D248" s="351"/>
      <c r="E248" s="61">
        <v>0</v>
      </c>
      <c r="F248" s="351"/>
      <c r="G248" s="56" t="e">
        <f t="shared" ca="1" si="509"/>
        <v>#N/A</v>
      </c>
      <c r="H248" s="351"/>
      <c r="I248" s="61">
        <v>0</v>
      </c>
      <c r="J248" s="351"/>
      <c r="K248" s="61">
        <v>0</v>
      </c>
      <c r="L248" s="351"/>
      <c r="M248" s="65">
        <f t="shared" si="536"/>
        <v>0</v>
      </c>
      <c r="N248" s="373"/>
      <c r="O248" s="288"/>
      <c r="P248" s="288"/>
      <c r="Q248" s="286">
        <f t="shared" si="510"/>
        <v>0</v>
      </c>
      <c r="R248" s="334"/>
      <c r="S248" s="61">
        <v>0</v>
      </c>
      <c r="T248" s="376"/>
      <c r="U248" s="61">
        <v>0</v>
      </c>
      <c r="V248" s="342"/>
      <c r="W248" s="61">
        <v>0</v>
      </c>
      <c r="X248" s="342"/>
      <c r="Y248" s="211" t="e">
        <f t="shared" si="612"/>
        <v>#N/A</v>
      </c>
      <c r="Z248" s="370"/>
      <c r="AA248" s="61">
        <v>0</v>
      </c>
      <c r="AB248" s="351"/>
      <c r="AC248" s="61">
        <v>0</v>
      </c>
      <c r="AD248" s="351"/>
      <c r="AE248" s="73" t="e">
        <f t="shared" si="642"/>
        <v>#N/A</v>
      </c>
      <c r="AF248" s="356"/>
      <c r="AG248" s="73" t="e">
        <f t="shared" si="643"/>
        <v>#N/A</v>
      </c>
      <c r="AH248" s="356"/>
      <c r="AI248" s="221">
        <f t="shared" si="656"/>
        <v>29.26</v>
      </c>
      <c r="AJ248" s="78">
        <f t="shared" ref="AJ248:AP248" si="664">AJ247</f>
        <v>0.26750000000000002</v>
      </c>
      <c r="AK248" s="79">
        <f t="shared" si="664"/>
        <v>9.9166666666666661</v>
      </c>
      <c r="AL248" s="80">
        <f t="shared" si="664"/>
        <v>187</v>
      </c>
      <c r="AM248" s="78">
        <f t="shared" si="664"/>
        <v>9.737942583732058E-2</v>
      </c>
      <c r="AN248" s="80">
        <f t="shared" si="664"/>
        <v>143</v>
      </c>
      <c r="AO248" s="78">
        <f t="shared" si="664"/>
        <v>0.21099999999999999</v>
      </c>
      <c r="AP248" s="88">
        <f t="shared" si="664"/>
        <v>12</v>
      </c>
      <c r="AQ248" s="64">
        <f t="shared" si="545"/>
        <v>21.5</v>
      </c>
      <c r="AR248" s="64">
        <f t="shared" si="546"/>
        <v>11.5</v>
      </c>
      <c r="AS248" s="88">
        <f t="shared" si="547"/>
        <v>1.1830000000000001</v>
      </c>
      <c r="AT248" s="91">
        <f t="shared" si="625"/>
        <v>0</v>
      </c>
      <c r="AU248" s="94"/>
      <c r="AV248" s="95"/>
      <c r="AW248" s="56">
        <f t="shared" si="512"/>
        <v>0</v>
      </c>
      <c r="AX248" s="351"/>
      <c r="AY248" s="100">
        <f t="shared" si="551"/>
        <v>9.9166666666666661</v>
      </c>
      <c r="AZ248" s="360"/>
      <c r="BA248" s="91">
        <f t="shared" si="650"/>
        <v>-2374.6958803333346</v>
      </c>
      <c r="BB248" s="5">
        <f t="shared" si="645"/>
        <v>-9.9166666666666661</v>
      </c>
      <c r="BC248" s="363"/>
      <c r="BD248" s="91" t="e">
        <f t="shared" ca="1" si="513"/>
        <v>#N/A</v>
      </c>
      <c r="BE248" s="91" t="e">
        <f t="shared" ca="1" si="514"/>
        <v>#N/A</v>
      </c>
      <c r="BF248" s="91">
        <f t="shared" si="515"/>
        <v>31.833333333333329</v>
      </c>
      <c r="BG248" s="91" t="e">
        <f t="shared" ca="1" si="516"/>
        <v>#N/A</v>
      </c>
      <c r="BH248" s="91" t="e">
        <f t="shared" ca="1" si="561"/>
        <v>#N/A</v>
      </c>
      <c r="BI248" s="10" t="e">
        <f t="shared" ca="1" si="539"/>
        <v>#N/A</v>
      </c>
      <c r="BJ248" s="104">
        <f>((M248+Q248)*AJ248+AK248)+((U248-W248+W248/('Vergleich Holz Strom'!$B$8-0.6))*AO248+AP248)</f>
        <v>21.916666666666664</v>
      </c>
      <c r="BK248" s="10" t="e">
        <f t="shared" ca="1" si="646"/>
        <v>#N/A</v>
      </c>
      <c r="BL248" s="379"/>
      <c r="BM248" s="104" t="e">
        <f t="shared" ca="1" si="527"/>
        <v>#N/A</v>
      </c>
      <c r="BN248" s="40" t="e">
        <f ca="1">IF(ISNUMBER(BK248),BN247+SUMIF(BK242:BK253,"&lt;&gt;#NV",BK242:BK253)/COUNTIF(BK242:BK253,"&lt;&gt;#NV"),#N/A)</f>
        <v>#N/A</v>
      </c>
      <c r="BO248" s="10" t="e">
        <f t="shared" ca="1" si="639"/>
        <v>#N/A</v>
      </c>
      <c r="BP248" s="104" t="e">
        <f t="shared" ca="1" si="647"/>
        <v>#N/A</v>
      </c>
      <c r="BQ248" s="104">
        <f t="shared" ca="1" si="500"/>
        <v>-58867.10248126644</v>
      </c>
      <c r="BR248" s="10">
        <f t="shared" si="517"/>
        <v>9.9166666666666661</v>
      </c>
      <c r="BS248" s="311"/>
      <c r="BT248" s="307"/>
      <c r="BU248" s="295">
        <f t="shared" si="518"/>
        <v>0</v>
      </c>
      <c r="BV248" s="323"/>
      <c r="BW248" s="299">
        <f t="shared" si="519"/>
        <v>0</v>
      </c>
      <c r="BX248" s="295">
        <f t="shared" si="520"/>
        <v>0</v>
      </c>
      <c r="BY248" s="382"/>
      <c r="BZ248" s="299">
        <f t="shared" si="528"/>
        <v>0</v>
      </c>
      <c r="CA248" s="295">
        <f t="shared" si="540"/>
        <v>0</v>
      </c>
      <c r="CB248" s="323"/>
      <c r="CC248" s="314">
        <f t="shared" si="658"/>
        <v>0</v>
      </c>
      <c r="CD248" s="326"/>
      <c r="CE248" s="299">
        <f t="shared" si="521"/>
        <v>0</v>
      </c>
      <c r="CF248" s="284">
        <f t="shared" si="659"/>
        <v>0</v>
      </c>
      <c r="CG248" s="323"/>
      <c r="CH248" s="302">
        <f t="shared" si="558"/>
        <v>0</v>
      </c>
      <c r="CI248" s="108">
        <f t="shared" si="522"/>
        <v>0</v>
      </c>
      <c r="CJ248" s="200">
        <f t="shared" si="523"/>
        <v>0</v>
      </c>
      <c r="CK248" s="197">
        <f t="shared" si="549"/>
        <v>0</v>
      </c>
      <c r="CL248" s="203">
        <f t="shared" si="524"/>
        <v>12</v>
      </c>
      <c r="CM248" s="4">
        <f>U248*Jahresdaten!$AD$2</f>
        <v>0</v>
      </c>
      <c r="CN248" s="112">
        <f>CJ248*Jahresdaten!$AD$2</f>
        <v>0</v>
      </c>
      <c r="CO248" s="366"/>
      <c r="CP248" s="116">
        <f>U248*Jahresdaten!$AD$3</f>
        <v>0</v>
      </c>
      <c r="CQ248" s="12">
        <f>CJ248*Jahresdaten!$AD$3</f>
        <v>0</v>
      </c>
      <c r="CR248" s="353"/>
      <c r="CS248" s="14"/>
      <c r="CT248" s="136"/>
      <c r="CU248" s="140" t="str">
        <f>IF(CT248=0,"",CT248*'Vergleich Holz Strom'!$B$2)</f>
        <v/>
      </c>
      <c r="CV248" s="121" t="s">
        <v>6</v>
      </c>
      <c r="CW248" s="366"/>
      <c r="CX248" s="345"/>
      <c r="CY248" s="345"/>
      <c r="CZ248" s="345"/>
      <c r="DA248" s="348"/>
      <c r="DB248" s="94"/>
      <c r="DC248" s="88">
        <f t="shared" si="632"/>
        <v>41632.094666666701</v>
      </c>
      <c r="DD248" s="94"/>
      <c r="DE248" s="88">
        <f t="shared" si="634"/>
        <v>-32714.112547000001</v>
      </c>
      <c r="DF248" s="100" t="e">
        <f ca="1">BE248+(SUM(CS242:CS253)/12)</f>
        <v>#N/A</v>
      </c>
      <c r="DG248" s="351"/>
      <c r="DH248" s="8">
        <f t="shared" si="651"/>
        <v>0</v>
      </c>
      <c r="DI248" s="123">
        <f t="shared" si="648"/>
        <v>14000</v>
      </c>
      <c r="DJ248" s="2">
        <f t="shared" si="652"/>
        <v>0</v>
      </c>
      <c r="DK248" s="127">
        <f>DK253/12*7</f>
        <v>4550</v>
      </c>
      <c r="DL248" s="2">
        <f t="shared" si="618"/>
        <v>650</v>
      </c>
      <c r="DM248" s="130">
        <f t="shared" si="653"/>
        <v>0</v>
      </c>
      <c r="DN248" s="3">
        <f>DN253/12*7</f>
        <v>1750</v>
      </c>
      <c r="DO248" s="130">
        <f t="shared" si="620"/>
        <v>250</v>
      </c>
      <c r="DP248" s="4">
        <f t="shared" si="654"/>
        <v>0</v>
      </c>
      <c r="DQ248" s="116">
        <f t="shared" si="655"/>
        <v>7700</v>
      </c>
      <c r="DR248" s="116">
        <f t="shared" si="660"/>
        <v>1250</v>
      </c>
    </row>
    <row r="249" spans="1:122" ht="14.25" customHeight="1" thickBot="1" x14ac:dyDescent="0.2">
      <c r="A249" s="416"/>
      <c r="B249" s="16">
        <v>50891</v>
      </c>
      <c r="C249" s="207">
        <f>'PV-Felder'!$I$6</f>
        <v>3391.3999999999996</v>
      </c>
      <c r="D249" s="351"/>
      <c r="E249" s="61">
        <v>0</v>
      </c>
      <c r="F249" s="351"/>
      <c r="G249" s="56" t="e">
        <f t="shared" ca="1" si="509"/>
        <v>#N/A</v>
      </c>
      <c r="H249" s="351"/>
      <c r="I249" s="61">
        <v>0</v>
      </c>
      <c r="J249" s="351"/>
      <c r="K249" s="61">
        <v>0</v>
      </c>
      <c r="L249" s="351"/>
      <c r="M249" s="65">
        <f t="shared" si="536"/>
        <v>0</v>
      </c>
      <c r="N249" s="373"/>
      <c r="O249" s="288"/>
      <c r="P249" s="288"/>
      <c r="Q249" s="286">
        <f t="shared" si="510"/>
        <v>0</v>
      </c>
      <c r="R249" s="334"/>
      <c r="S249" s="61">
        <v>0</v>
      </c>
      <c r="T249" s="376"/>
      <c r="U249" s="61">
        <v>0</v>
      </c>
      <c r="V249" s="342"/>
      <c r="W249" s="61">
        <v>0</v>
      </c>
      <c r="X249" s="342"/>
      <c r="Y249" s="211" t="e">
        <f t="shared" si="612"/>
        <v>#N/A</v>
      </c>
      <c r="Z249" s="370"/>
      <c r="AA249" s="61">
        <v>0</v>
      </c>
      <c r="AB249" s="351"/>
      <c r="AC249" s="61">
        <v>0</v>
      </c>
      <c r="AD249" s="351"/>
      <c r="AE249" s="73" t="e">
        <f t="shared" si="642"/>
        <v>#N/A</v>
      </c>
      <c r="AF249" s="356"/>
      <c r="AG249" s="73" t="e">
        <f t="shared" si="643"/>
        <v>#N/A</v>
      </c>
      <c r="AH249" s="356"/>
      <c r="AI249" s="221">
        <f t="shared" si="656"/>
        <v>29.26</v>
      </c>
      <c r="AJ249" s="78">
        <f t="shared" ref="AJ249:AP249" si="665">AJ248</f>
        <v>0.26750000000000002</v>
      </c>
      <c r="AK249" s="79">
        <f t="shared" si="665"/>
        <v>9.9166666666666661</v>
      </c>
      <c r="AL249" s="80">
        <f t="shared" si="665"/>
        <v>187</v>
      </c>
      <c r="AM249" s="78">
        <f t="shared" si="665"/>
        <v>9.737942583732058E-2</v>
      </c>
      <c r="AN249" s="80">
        <f t="shared" si="665"/>
        <v>143</v>
      </c>
      <c r="AO249" s="78">
        <f t="shared" si="665"/>
        <v>0.21099999999999999</v>
      </c>
      <c r="AP249" s="88">
        <f t="shared" si="665"/>
        <v>12</v>
      </c>
      <c r="AQ249" s="64">
        <f t="shared" si="545"/>
        <v>21.5</v>
      </c>
      <c r="AR249" s="64">
        <f t="shared" si="546"/>
        <v>11.5</v>
      </c>
      <c r="AS249" s="88">
        <f t="shared" si="547"/>
        <v>1.1830000000000001</v>
      </c>
      <c r="AT249" s="91">
        <f t="shared" si="625"/>
        <v>0</v>
      </c>
      <c r="AU249" s="94"/>
      <c r="AV249" s="95"/>
      <c r="AW249" s="56">
        <f t="shared" si="512"/>
        <v>0</v>
      </c>
      <c r="AX249" s="351"/>
      <c r="AY249" s="100">
        <f t="shared" si="551"/>
        <v>9.9166666666666661</v>
      </c>
      <c r="AZ249" s="360"/>
      <c r="BA249" s="91">
        <f t="shared" si="650"/>
        <v>-2384.6125470000011</v>
      </c>
      <c r="BB249" s="5">
        <f t="shared" si="645"/>
        <v>-9.9166666666666661</v>
      </c>
      <c r="BC249" s="363"/>
      <c r="BD249" s="91" t="e">
        <f t="shared" ca="1" si="513"/>
        <v>#N/A</v>
      </c>
      <c r="BE249" s="91" t="e">
        <f t="shared" ca="1" si="514"/>
        <v>#N/A</v>
      </c>
      <c r="BF249" s="91">
        <f t="shared" si="515"/>
        <v>31.833333333333329</v>
      </c>
      <c r="BG249" s="91" t="e">
        <f t="shared" ca="1" si="516"/>
        <v>#N/A</v>
      </c>
      <c r="BH249" s="91" t="e">
        <f t="shared" ca="1" si="561"/>
        <v>#N/A</v>
      </c>
      <c r="BI249" s="10" t="e">
        <f t="shared" ca="1" si="539"/>
        <v>#N/A</v>
      </c>
      <c r="BJ249" s="104">
        <f>((M249+Q249)*AJ249+AK249)+((U249-W249+W249/('Vergleich Holz Strom'!$B$8-0.6))*AO249+AP249)</f>
        <v>21.916666666666664</v>
      </c>
      <c r="BK249" s="10" t="e">
        <f t="shared" ca="1" si="646"/>
        <v>#N/A</v>
      </c>
      <c r="BL249" s="379"/>
      <c r="BM249" s="104" t="e">
        <f t="shared" ca="1" si="527"/>
        <v>#N/A</v>
      </c>
      <c r="BN249" s="40" t="e">
        <f ca="1">IF(ISNUMBER(BK249),BN248+SUMIF(BK242:BK253,"&lt;&gt;#NV",BK242:BK253)/COUNTIF(BK242:BK253,"&lt;&gt;#NV"),#N/A)</f>
        <v>#N/A</v>
      </c>
      <c r="BO249" s="10" t="e">
        <f t="shared" ca="1" si="639"/>
        <v>#N/A</v>
      </c>
      <c r="BP249" s="104" t="e">
        <f t="shared" ca="1" si="647"/>
        <v>#N/A</v>
      </c>
      <c r="BQ249" s="104">
        <f t="shared" ca="1" si="500"/>
        <v>-58847.902481266428</v>
      </c>
      <c r="BR249" s="10">
        <f t="shared" si="517"/>
        <v>9.9166666666666661</v>
      </c>
      <c r="BS249" s="311"/>
      <c r="BT249" s="307"/>
      <c r="BU249" s="295">
        <f t="shared" si="518"/>
        <v>0</v>
      </c>
      <c r="BV249" s="323"/>
      <c r="BW249" s="299">
        <f t="shared" si="519"/>
        <v>0</v>
      </c>
      <c r="BX249" s="295">
        <f t="shared" si="520"/>
        <v>0</v>
      </c>
      <c r="BY249" s="382"/>
      <c r="BZ249" s="299">
        <f t="shared" si="528"/>
        <v>0</v>
      </c>
      <c r="CA249" s="295">
        <f t="shared" si="540"/>
        <v>0</v>
      </c>
      <c r="CB249" s="323"/>
      <c r="CC249" s="314">
        <f t="shared" si="658"/>
        <v>0</v>
      </c>
      <c r="CD249" s="326"/>
      <c r="CE249" s="299">
        <f t="shared" si="521"/>
        <v>0</v>
      </c>
      <c r="CF249" s="284">
        <f t="shared" si="659"/>
        <v>0</v>
      </c>
      <c r="CG249" s="323"/>
      <c r="CH249" s="302">
        <f t="shared" si="558"/>
        <v>0</v>
      </c>
      <c r="CI249" s="108">
        <f t="shared" si="522"/>
        <v>0</v>
      </c>
      <c r="CJ249" s="200">
        <f t="shared" si="523"/>
        <v>0</v>
      </c>
      <c r="CK249" s="197">
        <f t="shared" si="549"/>
        <v>0</v>
      </c>
      <c r="CL249" s="203">
        <f t="shared" si="524"/>
        <v>12</v>
      </c>
      <c r="CM249" s="4">
        <f>U249*Jahresdaten!$AD$2</f>
        <v>0</v>
      </c>
      <c r="CN249" s="112">
        <f>CJ249*Jahresdaten!$AD$2</f>
        <v>0</v>
      </c>
      <c r="CO249" s="366"/>
      <c r="CP249" s="116">
        <f>U249*Jahresdaten!$AD$3</f>
        <v>0</v>
      </c>
      <c r="CQ249" s="12">
        <f>CJ249*Jahresdaten!$AD$3</f>
        <v>0</v>
      </c>
      <c r="CR249" s="353"/>
      <c r="CS249" s="14"/>
      <c r="CT249" s="136"/>
      <c r="CU249" s="140" t="str">
        <f>IF(CT249=0,"",CT249*'Vergleich Holz Strom'!$B$2)</f>
        <v/>
      </c>
      <c r="CV249" s="353">
        <f>SUM(CS242:CS253)</f>
        <v>1169</v>
      </c>
      <c r="CW249" s="366"/>
      <c r="CX249" s="345"/>
      <c r="CY249" s="345"/>
      <c r="CZ249" s="345"/>
      <c r="DA249" s="348"/>
      <c r="DB249" s="94"/>
      <c r="DC249" s="88">
        <f t="shared" si="632"/>
        <v>41809.178000000036</v>
      </c>
      <c r="DD249" s="94"/>
      <c r="DE249" s="88">
        <f t="shared" si="634"/>
        <v>-32857.112546999997</v>
      </c>
      <c r="DF249" s="100" t="e">
        <f ca="1">BE249+(SUM(CS242:CS253)/12)</f>
        <v>#N/A</v>
      </c>
      <c r="DG249" s="351"/>
      <c r="DH249" s="8">
        <f t="shared" si="651"/>
        <v>0</v>
      </c>
      <c r="DI249" s="123">
        <f t="shared" si="648"/>
        <v>16000</v>
      </c>
      <c r="DJ249" s="2">
        <f t="shared" si="652"/>
        <v>0</v>
      </c>
      <c r="DK249" s="127">
        <f>DK253/12*8</f>
        <v>5200</v>
      </c>
      <c r="DL249" s="2">
        <f t="shared" si="618"/>
        <v>650</v>
      </c>
      <c r="DM249" s="130">
        <f t="shared" si="653"/>
        <v>0</v>
      </c>
      <c r="DN249" s="3">
        <f>DN253/12*8</f>
        <v>2000</v>
      </c>
      <c r="DO249" s="130">
        <f t="shared" si="620"/>
        <v>250</v>
      </c>
      <c r="DP249" s="4">
        <f t="shared" si="654"/>
        <v>0</v>
      </c>
      <c r="DQ249" s="116">
        <f t="shared" si="655"/>
        <v>8800</v>
      </c>
      <c r="DR249" s="116">
        <f t="shared" si="660"/>
        <v>1100</v>
      </c>
    </row>
    <row r="250" spans="1:122" ht="14.25" customHeight="1" thickBot="1" x14ac:dyDescent="0.2">
      <c r="A250" s="416"/>
      <c r="B250" s="16">
        <v>50922</v>
      </c>
      <c r="C250" s="207">
        <f>'PV-Felder'!$I$7</f>
        <v>3595.6000000000004</v>
      </c>
      <c r="D250" s="351"/>
      <c r="E250" s="61">
        <v>0</v>
      </c>
      <c r="F250" s="351"/>
      <c r="G250" s="56" t="e">
        <f t="shared" ca="1" si="509"/>
        <v>#N/A</v>
      </c>
      <c r="H250" s="351"/>
      <c r="I250" s="61">
        <v>0</v>
      </c>
      <c r="J250" s="351"/>
      <c r="K250" s="61">
        <v>0</v>
      </c>
      <c r="L250" s="351"/>
      <c r="M250" s="65">
        <f t="shared" si="536"/>
        <v>0</v>
      </c>
      <c r="N250" s="373"/>
      <c r="O250" s="288"/>
      <c r="P250" s="288"/>
      <c r="Q250" s="286">
        <f t="shared" si="510"/>
        <v>0</v>
      </c>
      <c r="R250" s="334"/>
      <c r="S250" s="61">
        <v>0</v>
      </c>
      <c r="T250" s="376"/>
      <c r="U250" s="61">
        <v>0</v>
      </c>
      <c r="V250" s="342"/>
      <c r="W250" s="61">
        <v>0</v>
      </c>
      <c r="X250" s="342"/>
      <c r="Y250" s="211" t="e">
        <f t="shared" si="612"/>
        <v>#N/A</v>
      </c>
      <c r="Z250" s="370"/>
      <c r="AA250" s="61">
        <v>0</v>
      </c>
      <c r="AB250" s="351"/>
      <c r="AC250" s="61">
        <v>0</v>
      </c>
      <c r="AD250" s="351"/>
      <c r="AE250" s="73" t="e">
        <f t="shared" si="642"/>
        <v>#N/A</v>
      </c>
      <c r="AF250" s="356"/>
      <c r="AG250" s="73" t="e">
        <f t="shared" si="643"/>
        <v>#N/A</v>
      </c>
      <c r="AH250" s="356"/>
      <c r="AI250" s="221">
        <f t="shared" si="656"/>
        <v>29.26</v>
      </c>
      <c r="AJ250" s="78">
        <f t="shared" ref="AJ250:AP250" si="666">AJ249</f>
        <v>0.26750000000000002</v>
      </c>
      <c r="AK250" s="79">
        <f t="shared" si="666"/>
        <v>9.9166666666666661</v>
      </c>
      <c r="AL250" s="80">
        <f t="shared" si="666"/>
        <v>187</v>
      </c>
      <c r="AM250" s="78">
        <f t="shared" si="666"/>
        <v>9.737942583732058E-2</v>
      </c>
      <c r="AN250" s="80">
        <f t="shared" si="666"/>
        <v>143</v>
      </c>
      <c r="AO250" s="78">
        <f t="shared" si="666"/>
        <v>0.21099999999999999</v>
      </c>
      <c r="AP250" s="88">
        <f t="shared" si="666"/>
        <v>12</v>
      </c>
      <c r="AQ250" s="64">
        <f t="shared" si="545"/>
        <v>21.5</v>
      </c>
      <c r="AR250" s="64">
        <f t="shared" si="546"/>
        <v>11.5</v>
      </c>
      <c r="AS250" s="88">
        <f t="shared" si="547"/>
        <v>1.1830000000000001</v>
      </c>
      <c r="AT250" s="91">
        <f t="shared" si="625"/>
        <v>0</v>
      </c>
      <c r="AU250" s="94"/>
      <c r="AV250" s="95"/>
      <c r="AW250" s="56">
        <f t="shared" si="512"/>
        <v>0</v>
      </c>
      <c r="AX250" s="351"/>
      <c r="AY250" s="100">
        <f t="shared" si="551"/>
        <v>9.9166666666666661</v>
      </c>
      <c r="AZ250" s="360"/>
      <c r="BA250" s="91">
        <f t="shared" si="650"/>
        <v>-2394.5292136666676</v>
      </c>
      <c r="BB250" s="5">
        <f t="shared" si="645"/>
        <v>-9.9166666666666661</v>
      </c>
      <c r="BC250" s="363"/>
      <c r="BD250" s="91" t="e">
        <f t="shared" ca="1" si="513"/>
        <v>#N/A</v>
      </c>
      <c r="BE250" s="91" t="e">
        <f t="shared" ca="1" si="514"/>
        <v>#N/A</v>
      </c>
      <c r="BF250" s="91">
        <f t="shared" si="515"/>
        <v>31.833333333333329</v>
      </c>
      <c r="BG250" s="91" t="e">
        <f t="shared" ca="1" si="516"/>
        <v>#N/A</v>
      </c>
      <c r="BH250" s="91" t="e">
        <f t="shared" ca="1" si="561"/>
        <v>#N/A</v>
      </c>
      <c r="BI250" s="10" t="e">
        <f t="shared" ca="1" si="539"/>
        <v>#N/A</v>
      </c>
      <c r="BJ250" s="104">
        <f>((M250+Q250)*AJ250+AK250)+((U250-W250+W250/('Vergleich Holz Strom'!$B$8-0.6))*AO250+AP250)</f>
        <v>21.916666666666664</v>
      </c>
      <c r="BK250" s="10" t="e">
        <f t="shared" ca="1" si="646"/>
        <v>#N/A</v>
      </c>
      <c r="BL250" s="379"/>
      <c r="BM250" s="104" t="e">
        <f t="shared" ca="1" si="527"/>
        <v>#N/A</v>
      </c>
      <c r="BN250" s="40" t="e">
        <f ca="1">IF(ISNUMBER(BK250),BN249+SUMIF(BK242:BK253,"&lt;&gt;#NV",BK242:BK253)/COUNTIF(BK242:BK253,"&lt;&gt;#NV"),#N/A)</f>
        <v>#N/A</v>
      </c>
      <c r="BO250" s="10" t="e">
        <f t="shared" ca="1" si="639"/>
        <v>#N/A</v>
      </c>
      <c r="BP250" s="104" t="e">
        <f t="shared" ca="1" si="647"/>
        <v>#N/A</v>
      </c>
      <c r="BQ250" s="104">
        <f t="shared" ref="BQ250:BQ301" ca="1" si="667">IF(B251&lt;=TODAY(),BP250,IF(E250=0,BQ249+((BQ214-BQ213+BQ226-BQ225+BQ238-BQ237)/3),BP250))</f>
        <v>-58831.702450950535</v>
      </c>
      <c r="BR250" s="10">
        <f t="shared" si="517"/>
        <v>9.9166666666666661</v>
      </c>
      <c r="BS250" s="311"/>
      <c r="BT250" s="307"/>
      <c r="BU250" s="295">
        <f t="shared" si="518"/>
        <v>0</v>
      </c>
      <c r="BV250" s="323"/>
      <c r="BW250" s="299">
        <f t="shared" si="519"/>
        <v>0</v>
      </c>
      <c r="BX250" s="295">
        <f t="shared" si="520"/>
        <v>0</v>
      </c>
      <c r="BY250" s="382"/>
      <c r="BZ250" s="299">
        <f t="shared" si="528"/>
        <v>0</v>
      </c>
      <c r="CA250" s="295">
        <f t="shared" si="540"/>
        <v>0</v>
      </c>
      <c r="CB250" s="323"/>
      <c r="CC250" s="314">
        <f t="shared" si="658"/>
        <v>0</v>
      </c>
      <c r="CD250" s="326"/>
      <c r="CE250" s="299">
        <f t="shared" si="521"/>
        <v>0</v>
      </c>
      <c r="CF250" s="284">
        <f t="shared" si="659"/>
        <v>0</v>
      </c>
      <c r="CG250" s="323"/>
      <c r="CH250" s="302">
        <f t="shared" si="558"/>
        <v>0</v>
      </c>
      <c r="CI250" s="108">
        <f t="shared" si="522"/>
        <v>0</v>
      </c>
      <c r="CJ250" s="200">
        <f t="shared" si="523"/>
        <v>0</v>
      </c>
      <c r="CK250" s="197">
        <f t="shared" si="549"/>
        <v>0</v>
      </c>
      <c r="CL250" s="203">
        <f t="shared" si="524"/>
        <v>12</v>
      </c>
      <c r="CM250" s="4">
        <f>U250*Jahresdaten!$AD$2</f>
        <v>0</v>
      </c>
      <c r="CN250" s="112">
        <f>CJ250*Jahresdaten!$AD$2</f>
        <v>0</v>
      </c>
      <c r="CO250" s="366"/>
      <c r="CP250" s="116">
        <f>U250*Jahresdaten!$AD$3</f>
        <v>0</v>
      </c>
      <c r="CQ250" s="12">
        <f>CJ250*Jahresdaten!$AD$3</f>
        <v>0</v>
      </c>
      <c r="CR250" s="353"/>
      <c r="CS250" s="14"/>
      <c r="CT250" s="136"/>
      <c r="CU250" s="140" t="str">
        <f>IF(CT250=0,"",CT250*'Vergleich Holz Strom'!$B$2)</f>
        <v/>
      </c>
      <c r="CV250" s="353"/>
      <c r="CW250" s="366"/>
      <c r="CX250" s="345"/>
      <c r="CY250" s="345"/>
      <c r="CZ250" s="345"/>
      <c r="DA250" s="348"/>
      <c r="DB250" s="94"/>
      <c r="DC250" s="88">
        <f t="shared" si="632"/>
        <v>41986.261333333372</v>
      </c>
      <c r="DD250" s="94"/>
      <c r="DE250" s="88">
        <f t="shared" si="634"/>
        <v>-33000.112546999997</v>
      </c>
      <c r="DF250" s="100" t="e">
        <f ca="1">BE250+(SUM(CS242:CS253)/12)</f>
        <v>#N/A</v>
      </c>
      <c r="DG250" s="351"/>
      <c r="DH250" s="8">
        <f t="shared" si="651"/>
        <v>0</v>
      </c>
      <c r="DI250" s="123">
        <f t="shared" si="648"/>
        <v>17200</v>
      </c>
      <c r="DJ250" s="2">
        <f t="shared" si="652"/>
        <v>0</v>
      </c>
      <c r="DK250" s="127">
        <f>DK253/12*9</f>
        <v>5850</v>
      </c>
      <c r="DL250" s="2">
        <f t="shared" si="618"/>
        <v>650</v>
      </c>
      <c r="DM250" s="130">
        <f t="shared" si="653"/>
        <v>0</v>
      </c>
      <c r="DN250" s="3">
        <f>DN253/12*9</f>
        <v>2250</v>
      </c>
      <c r="DO250" s="130">
        <f t="shared" si="620"/>
        <v>250</v>
      </c>
      <c r="DP250" s="4">
        <f t="shared" si="654"/>
        <v>0</v>
      </c>
      <c r="DQ250" s="116">
        <f t="shared" si="655"/>
        <v>9100</v>
      </c>
      <c r="DR250" s="116">
        <f t="shared" si="660"/>
        <v>300</v>
      </c>
    </row>
    <row r="251" spans="1:122" ht="14.25" customHeight="1" thickBot="1" x14ac:dyDescent="0.2">
      <c r="A251" s="416"/>
      <c r="B251" s="16">
        <v>50952</v>
      </c>
      <c r="C251" s="207">
        <f>'PV-Felder'!$I$8</f>
        <v>3593.8</v>
      </c>
      <c r="D251" s="351"/>
      <c r="E251" s="61">
        <v>0</v>
      </c>
      <c r="F251" s="351"/>
      <c r="G251" s="56" t="e">
        <f t="shared" ca="1" si="509"/>
        <v>#N/A</v>
      </c>
      <c r="H251" s="351"/>
      <c r="I251" s="61">
        <v>0</v>
      </c>
      <c r="J251" s="351"/>
      <c r="K251" s="61">
        <v>0</v>
      </c>
      <c r="L251" s="351"/>
      <c r="M251" s="65">
        <f t="shared" si="536"/>
        <v>0</v>
      </c>
      <c r="N251" s="373"/>
      <c r="O251" s="288"/>
      <c r="P251" s="288"/>
      <c r="Q251" s="286">
        <f t="shared" si="510"/>
        <v>0</v>
      </c>
      <c r="R251" s="334"/>
      <c r="S251" s="61">
        <v>0</v>
      </c>
      <c r="T251" s="376"/>
      <c r="U251" s="61">
        <v>0</v>
      </c>
      <c r="V251" s="342"/>
      <c r="W251" s="61">
        <v>0</v>
      </c>
      <c r="X251" s="342"/>
      <c r="Y251" s="211" t="e">
        <f t="shared" si="612"/>
        <v>#N/A</v>
      </c>
      <c r="Z251" s="370"/>
      <c r="AA251" s="61">
        <v>0</v>
      </c>
      <c r="AB251" s="351"/>
      <c r="AC251" s="61">
        <v>0</v>
      </c>
      <c r="AD251" s="351"/>
      <c r="AE251" s="73" t="e">
        <f t="shared" si="642"/>
        <v>#N/A</v>
      </c>
      <c r="AF251" s="356"/>
      <c r="AG251" s="73" t="e">
        <f t="shared" si="643"/>
        <v>#N/A</v>
      </c>
      <c r="AH251" s="356"/>
      <c r="AI251" s="221">
        <f t="shared" si="656"/>
        <v>29.26</v>
      </c>
      <c r="AJ251" s="78">
        <f t="shared" ref="AJ251:AP251" si="668">AJ250</f>
        <v>0.26750000000000002</v>
      </c>
      <c r="AK251" s="79">
        <f t="shared" si="668"/>
        <v>9.9166666666666661</v>
      </c>
      <c r="AL251" s="80">
        <f t="shared" si="668"/>
        <v>187</v>
      </c>
      <c r="AM251" s="78">
        <f t="shared" si="668"/>
        <v>9.737942583732058E-2</v>
      </c>
      <c r="AN251" s="80">
        <f t="shared" si="668"/>
        <v>143</v>
      </c>
      <c r="AO251" s="78">
        <f t="shared" si="668"/>
        <v>0.21099999999999999</v>
      </c>
      <c r="AP251" s="88">
        <f t="shared" si="668"/>
        <v>12</v>
      </c>
      <c r="AQ251" s="64">
        <f t="shared" si="545"/>
        <v>21.5</v>
      </c>
      <c r="AR251" s="64">
        <f t="shared" si="546"/>
        <v>11.5</v>
      </c>
      <c r="AS251" s="88">
        <f t="shared" si="547"/>
        <v>1.1830000000000001</v>
      </c>
      <c r="AT251" s="91">
        <f t="shared" si="625"/>
        <v>0</v>
      </c>
      <c r="AU251" s="94"/>
      <c r="AV251" s="95"/>
      <c r="AW251" s="56">
        <f t="shared" si="512"/>
        <v>0</v>
      </c>
      <c r="AX251" s="351"/>
      <c r="AY251" s="100">
        <f t="shared" si="551"/>
        <v>9.9166666666666661</v>
      </c>
      <c r="AZ251" s="360"/>
      <c r="BA251" s="91">
        <f t="shared" si="650"/>
        <v>-2404.4458803333341</v>
      </c>
      <c r="BB251" s="5">
        <f t="shared" si="645"/>
        <v>-9.9166666666666661</v>
      </c>
      <c r="BC251" s="363"/>
      <c r="BD251" s="91" t="e">
        <f t="shared" ca="1" si="513"/>
        <v>#N/A</v>
      </c>
      <c r="BE251" s="91" t="e">
        <f t="shared" ca="1" si="514"/>
        <v>#N/A</v>
      </c>
      <c r="BF251" s="91">
        <f t="shared" si="515"/>
        <v>31.833333333333329</v>
      </c>
      <c r="BG251" s="91" t="e">
        <f t="shared" ca="1" si="516"/>
        <v>#N/A</v>
      </c>
      <c r="BH251" s="91" t="e">
        <f t="shared" ca="1" si="561"/>
        <v>#N/A</v>
      </c>
      <c r="BI251" s="10" t="e">
        <f t="shared" ca="1" si="539"/>
        <v>#N/A</v>
      </c>
      <c r="BJ251" s="104">
        <f>((M251+Q251)*AJ251+AK251)+((U251-W251+W251/('Vergleich Holz Strom'!$B$8-0.6))*AO251+AP251)</f>
        <v>21.916666666666664</v>
      </c>
      <c r="BK251" s="10" t="e">
        <f t="shared" ca="1" si="646"/>
        <v>#N/A</v>
      </c>
      <c r="BL251" s="379"/>
      <c r="BM251" s="104" t="e">
        <f t="shared" ca="1" si="527"/>
        <v>#N/A</v>
      </c>
      <c r="BN251" s="40" t="e">
        <f ca="1">IF(ISNUMBER(BK251),BN250+SUMIF(BK242:BK253,"&lt;&gt;#NV",BK242:BK253)/COUNTIF(BK242:BK253,"&lt;&gt;#NV"),#N/A)</f>
        <v>#N/A</v>
      </c>
      <c r="BO251" s="10" t="e">
        <f ca="1">BK251+AT251+AU251</f>
        <v>#N/A</v>
      </c>
      <c r="BP251" s="104" t="e">
        <f t="shared" ca="1" si="647"/>
        <v>#N/A</v>
      </c>
      <c r="BQ251" s="104">
        <f t="shared" ca="1" si="667"/>
        <v>-58815.502420634642</v>
      </c>
      <c r="BR251" s="10">
        <f t="shared" si="517"/>
        <v>9.9166666666666661</v>
      </c>
      <c r="BS251" s="311"/>
      <c r="BT251" s="307"/>
      <c r="BU251" s="295">
        <f t="shared" si="518"/>
        <v>0</v>
      </c>
      <c r="BV251" s="323"/>
      <c r="BW251" s="299">
        <f t="shared" si="519"/>
        <v>0</v>
      </c>
      <c r="BX251" s="295">
        <f t="shared" si="520"/>
        <v>0</v>
      </c>
      <c r="BY251" s="382"/>
      <c r="BZ251" s="299">
        <f t="shared" si="528"/>
        <v>0</v>
      </c>
      <c r="CA251" s="295">
        <f t="shared" si="540"/>
        <v>0</v>
      </c>
      <c r="CB251" s="323"/>
      <c r="CC251" s="314">
        <f t="shared" si="658"/>
        <v>0</v>
      </c>
      <c r="CD251" s="326"/>
      <c r="CE251" s="299">
        <f t="shared" si="521"/>
        <v>0</v>
      </c>
      <c r="CF251" s="284">
        <f t="shared" si="659"/>
        <v>0</v>
      </c>
      <c r="CG251" s="323"/>
      <c r="CH251" s="302">
        <f t="shared" si="558"/>
        <v>0</v>
      </c>
      <c r="CI251" s="108">
        <f t="shared" si="522"/>
        <v>0</v>
      </c>
      <c r="CJ251" s="200">
        <f t="shared" si="523"/>
        <v>0</v>
      </c>
      <c r="CK251" s="197">
        <f t="shared" si="549"/>
        <v>0</v>
      </c>
      <c r="CL251" s="203">
        <f t="shared" si="524"/>
        <v>12</v>
      </c>
      <c r="CM251" s="4">
        <f>U251*Jahresdaten!$AD$2</f>
        <v>0</v>
      </c>
      <c r="CN251" s="112">
        <f>CJ251*Jahresdaten!$AD$2</f>
        <v>0</v>
      </c>
      <c r="CO251" s="366"/>
      <c r="CP251" s="116">
        <f>U251*Jahresdaten!$AD$3</f>
        <v>0</v>
      </c>
      <c r="CQ251" s="12">
        <f>CJ251*Jahresdaten!$AD$3</f>
        <v>0</v>
      </c>
      <c r="CR251" s="353"/>
      <c r="CS251" s="14"/>
      <c r="CT251" s="136"/>
      <c r="CU251" s="140" t="str">
        <f>IF(CT251=0,"",CT251*'Vergleich Holz Strom'!$B$2)</f>
        <v/>
      </c>
      <c r="CV251" s="353"/>
      <c r="CW251" s="366"/>
      <c r="CX251" s="345"/>
      <c r="CY251" s="345"/>
      <c r="CZ251" s="345"/>
      <c r="DA251" s="348"/>
      <c r="DB251" s="94"/>
      <c r="DC251" s="88">
        <f t="shared" si="632"/>
        <v>42163.344666666708</v>
      </c>
      <c r="DD251" s="94"/>
      <c r="DE251" s="88">
        <f t="shared" si="634"/>
        <v>-33143.112546999997</v>
      </c>
      <c r="DF251" s="100" t="e">
        <f ca="1">BE251+(SUM(CS242:CS253)/12)</f>
        <v>#N/A</v>
      </c>
      <c r="DG251" s="351"/>
      <c r="DH251" s="8">
        <f t="shared" si="651"/>
        <v>0</v>
      </c>
      <c r="DI251" s="123">
        <f t="shared" si="648"/>
        <v>18250</v>
      </c>
      <c r="DJ251" s="2">
        <f t="shared" si="652"/>
        <v>0</v>
      </c>
      <c r="DK251" s="127">
        <f>DK253/12*10</f>
        <v>6500</v>
      </c>
      <c r="DL251" s="2">
        <f t="shared" si="618"/>
        <v>650</v>
      </c>
      <c r="DM251" s="130">
        <f t="shared" si="653"/>
        <v>0</v>
      </c>
      <c r="DN251" s="3">
        <f>DN253/12*10</f>
        <v>2500</v>
      </c>
      <c r="DO251" s="130">
        <f t="shared" si="620"/>
        <v>250</v>
      </c>
      <c r="DP251" s="4">
        <f t="shared" si="654"/>
        <v>0</v>
      </c>
      <c r="DQ251" s="116">
        <f t="shared" si="655"/>
        <v>9250</v>
      </c>
      <c r="DR251" s="116">
        <f t="shared" si="660"/>
        <v>150</v>
      </c>
    </row>
    <row r="252" spans="1:122" ht="14.25" customHeight="1" thickBot="1" x14ac:dyDescent="0.2">
      <c r="A252" s="416"/>
      <c r="B252" s="16">
        <v>50983</v>
      </c>
      <c r="C252" s="207">
        <f>'PV-Felder'!$I$9</f>
        <v>3065.7</v>
      </c>
      <c r="D252" s="351"/>
      <c r="E252" s="61">
        <v>0</v>
      </c>
      <c r="F252" s="351"/>
      <c r="G252" s="56" t="e">
        <f t="shared" ca="1" si="509"/>
        <v>#N/A</v>
      </c>
      <c r="H252" s="351"/>
      <c r="I252" s="61">
        <v>0</v>
      </c>
      <c r="J252" s="351"/>
      <c r="K252" s="61">
        <v>0</v>
      </c>
      <c r="L252" s="351"/>
      <c r="M252" s="65">
        <f t="shared" si="536"/>
        <v>0</v>
      </c>
      <c r="N252" s="373"/>
      <c r="O252" s="288"/>
      <c r="P252" s="288"/>
      <c r="Q252" s="286">
        <f t="shared" si="510"/>
        <v>0</v>
      </c>
      <c r="R252" s="334"/>
      <c r="S252" s="61">
        <v>0</v>
      </c>
      <c r="T252" s="376"/>
      <c r="U252" s="61">
        <v>0</v>
      </c>
      <c r="V252" s="342"/>
      <c r="W252" s="61">
        <v>0</v>
      </c>
      <c r="X252" s="342"/>
      <c r="Y252" s="211" t="e">
        <f t="shared" si="612"/>
        <v>#N/A</v>
      </c>
      <c r="Z252" s="370"/>
      <c r="AA252" s="61">
        <v>0</v>
      </c>
      <c r="AB252" s="351"/>
      <c r="AC252" s="61">
        <v>0</v>
      </c>
      <c r="AD252" s="351"/>
      <c r="AE252" s="73" t="e">
        <f t="shared" si="642"/>
        <v>#N/A</v>
      </c>
      <c r="AF252" s="356"/>
      <c r="AG252" s="73" t="e">
        <f t="shared" si="643"/>
        <v>#N/A</v>
      </c>
      <c r="AH252" s="356"/>
      <c r="AI252" s="221">
        <f t="shared" si="656"/>
        <v>29.26</v>
      </c>
      <c r="AJ252" s="78">
        <f t="shared" ref="AJ252:AP252" si="669">AJ251</f>
        <v>0.26750000000000002</v>
      </c>
      <c r="AK252" s="79">
        <f t="shared" si="669"/>
        <v>9.9166666666666661</v>
      </c>
      <c r="AL252" s="80">
        <f t="shared" si="669"/>
        <v>187</v>
      </c>
      <c r="AM252" s="78">
        <f t="shared" si="669"/>
        <v>9.737942583732058E-2</v>
      </c>
      <c r="AN252" s="80">
        <f t="shared" si="669"/>
        <v>143</v>
      </c>
      <c r="AO252" s="78">
        <f t="shared" si="669"/>
        <v>0.21099999999999999</v>
      </c>
      <c r="AP252" s="88">
        <f t="shared" si="669"/>
        <v>12</v>
      </c>
      <c r="AQ252" s="64">
        <f t="shared" si="545"/>
        <v>21.5</v>
      </c>
      <c r="AR252" s="64">
        <f t="shared" si="546"/>
        <v>11.5</v>
      </c>
      <c r="AS252" s="88">
        <f t="shared" si="547"/>
        <v>1.1830000000000001</v>
      </c>
      <c r="AT252" s="91">
        <f t="shared" si="625"/>
        <v>0</v>
      </c>
      <c r="AU252" s="94"/>
      <c r="AV252" s="95"/>
      <c r="AW252" s="56">
        <f t="shared" si="512"/>
        <v>0</v>
      </c>
      <c r="AX252" s="351"/>
      <c r="AY252" s="100">
        <f t="shared" si="551"/>
        <v>9.9166666666666661</v>
      </c>
      <c r="AZ252" s="360"/>
      <c r="BA252" s="91">
        <f t="shared" si="650"/>
        <v>-2414.3625470000006</v>
      </c>
      <c r="BB252" s="5">
        <f t="shared" si="645"/>
        <v>-9.9166666666666661</v>
      </c>
      <c r="BC252" s="363"/>
      <c r="BD252" s="91" t="e">
        <f t="shared" ca="1" si="513"/>
        <v>#N/A</v>
      </c>
      <c r="BE252" s="91" t="e">
        <f t="shared" ca="1" si="514"/>
        <v>#N/A</v>
      </c>
      <c r="BF252" s="91">
        <f t="shared" si="515"/>
        <v>31.833333333333329</v>
      </c>
      <c r="BG252" s="91" t="e">
        <f t="shared" ca="1" si="516"/>
        <v>#N/A</v>
      </c>
      <c r="BH252" s="91" t="e">
        <f t="shared" ca="1" si="561"/>
        <v>#N/A</v>
      </c>
      <c r="BI252" s="10" t="e">
        <f t="shared" ca="1" si="539"/>
        <v>#N/A</v>
      </c>
      <c r="BJ252" s="104">
        <f>((M252+Q252)*AJ252+AK252)+((U252-W252+W252/('Vergleich Holz Strom'!$B$8-0.6))*AO252+AP252)</f>
        <v>21.916666666666664</v>
      </c>
      <c r="BK252" s="10" t="e">
        <f t="shared" ca="1" si="646"/>
        <v>#N/A</v>
      </c>
      <c r="BL252" s="379"/>
      <c r="BM252" s="104" t="e">
        <f t="shared" ca="1" si="527"/>
        <v>#N/A</v>
      </c>
      <c r="BN252" s="40" t="e">
        <f ca="1">IF(ISNUMBER(BK252),BN251+SUMIF(BK242:BK253,"&lt;&gt;#NV",BK242:BK253)/COUNTIF(BK242:BK253,"&lt;&gt;#NV"),#N/A)</f>
        <v>#N/A</v>
      </c>
      <c r="BO252" s="10" t="e">
        <f t="shared" ref="BO252:BO262" ca="1" si="670">BK252+AT252+AU252</f>
        <v>#N/A</v>
      </c>
      <c r="BP252" s="104" t="e">
        <f t="shared" ca="1" si="647"/>
        <v>#N/A</v>
      </c>
      <c r="BQ252" s="104">
        <f t="shared" ca="1" si="667"/>
        <v>-58799.30239031875</v>
      </c>
      <c r="BR252" s="10">
        <f t="shared" si="517"/>
        <v>9.9166666666666661</v>
      </c>
      <c r="BS252" s="311"/>
      <c r="BT252" s="307"/>
      <c r="BU252" s="295">
        <f t="shared" si="518"/>
        <v>0</v>
      </c>
      <c r="BV252" s="323"/>
      <c r="BW252" s="299">
        <f t="shared" si="519"/>
        <v>0</v>
      </c>
      <c r="BX252" s="295">
        <f t="shared" si="520"/>
        <v>0</v>
      </c>
      <c r="BY252" s="382"/>
      <c r="BZ252" s="299">
        <f t="shared" si="528"/>
        <v>0</v>
      </c>
      <c r="CA252" s="295">
        <f t="shared" si="540"/>
        <v>0</v>
      </c>
      <c r="CB252" s="323"/>
      <c r="CC252" s="314">
        <f t="shared" si="658"/>
        <v>0</v>
      </c>
      <c r="CD252" s="326"/>
      <c r="CE252" s="299">
        <f t="shared" si="521"/>
        <v>0</v>
      </c>
      <c r="CF252" s="284">
        <f t="shared" si="659"/>
        <v>0</v>
      </c>
      <c r="CG252" s="323"/>
      <c r="CH252" s="302">
        <f t="shared" si="558"/>
        <v>0</v>
      </c>
      <c r="CI252" s="108">
        <f t="shared" si="522"/>
        <v>0</v>
      </c>
      <c r="CJ252" s="200">
        <f t="shared" si="523"/>
        <v>0</v>
      </c>
      <c r="CK252" s="197">
        <f t="shared" si="549"/>
        <v>0</v>
      </c>
      <c r="CL252" s="203">
        <f t="shared" si="524"/>
        <v>12</v>
      </c>
      <c r="CM252" s="4">
        <f>U252*Jahresdaten!$AD$2</f>
        <v>0</v>
      </c>
      <c r="CN252" s="112">
        <f>CJ252*Jahresdaten!$AD$2</f>
        <v>0</v>
      </c>
      <c r="CO252" s="366"/>
      <c r="CP252" s="116">
        <f>U252*Jahresdaten!$AD$3</f>
        <v>0</v>
      </c>
      <c r="CQ252" s="12">
        <f>CJ252*Jahresdaten!$AD$3</f>
        <v>0</v>
      </c>
      <c r="CR252" s="353"/>
      <c r="CS252" s="14"/>
      <c r="CT252" s="136"/>
      <c r="CU252" s="140" t="str">
        <f>IF(CT252=0,"",CT252*'Vergleich Holz Strom'!$B$2)</f>
        <v/>
      </c>
      <c r="CV252" s="353"/>
      <c r="CW252" s="366"/>
      <c r="CX252" s="345"/>
      <c r="CY252" s="345"/>
      <c r="CZ252" s="345"/>
      <c r="DA252" s="348"/>
      <c r="DB252" s="94"/>
      <c r="DC252" s="88">
        <f t="shared" si="632"/>
        <v>42340.428000000044</v>
      </c>
      <c r="DD252" s="94"/>
      <c r="DE252" s="88">
        <f t="shared" si="634"/>
        <v>-33286.112546999997</v>
      </c>
      <c r="DF252" s="100" t="e">
        <f ca="1">BE252+(SUM(CS242:CS253)/12)</f>
        <v>#N/A</v>
      </c>
      <c r="DG252" s="351"/>
      <c r="DH252" s="8">
        <f t="shared" si="651"/>
        <v>0</v>
      </c>
      <c r="DI252" s="123">
        <f t="shared" si="648"/>
        <v>19300</v>
      </c>
      <c r="DJ252" s="2">
        <f t="shared" si="652"/>
        <v>0</v>
      </c>
      <c r="DK252" s="127">
        <f>DK253/12*11</f>
        <v>7150</v>
      </c>
      <c r="DL252" s="2">
        <f t="shared" si="618"/>
        <v>650</v>
      </c>
      <c r="DM252" s="130">
        <f t="shared" si="653"/>
        <v>0</v>
      </c>
      <c r="DN252" s="3">
        <f>DN253/12*11</f>
        <v>2750</v>
      </c>
      <c r="DO252" s="130">
        <f t="shared" si="620"/>
        <v>250</v>
      </c>
      <c r="DP252" s="4">
        <f t="shared" si="654"/>
        <v>0</v>
      </c>
      <c r="DQ252" s="116">
        <f t="shared" si="655"/>
        <v>9400</v>
      </c>
      <c r="DR252" s="116">
        <f t="shared" si="660"/>
        <v>150</v>
      </c>
    </row>
    <row r="253" spans="1:122" s="28" customFormat="1" ht="15" customHeight="1" thickBot="1" x14ac:dyDescent="0.2">
      <c r="A253" s="417"/>
      <c r="B253" s="18">
        <v>51014</v>
      </c>
      <c r="C253" s="208">
        <f>'PV-Felder'!$I$10</f>
        <v>2246.7000000000003</v>
      </c>
      <c r="D253" s="352"/>
      <c r="E253" s="63">
        <v>0</v>
      </c>
      <c r="F253" s="352"/>
      <c r="G253" s="57" t="e">
        <f t="shared" ca="1" si="509"/>
        <v>#N/A</v>
      </c>
      <c r="H253" s="352"/>
      <c r="I253" s="63">
        <v>0</v>
      </c>
      <c r="J253" s="352"/>
      <c r="K253" s="63">
        <v>0</v>
      </c>
      <c r="L253" s="352"/>
      <c r="M253" s="67">
        <f t="shared" si="536"/>
        <v>0</v>
      </c>
      <c r="N253" s="374"/>
      <c r="O253" s="290"/>
      <c r="P253" s="290"/>
      <c r="Q253" s="289">
        <f t="shared" si="510"/>
        <v>0</v>
      </c>
      <c r="R253" s="334"/>
      <c r="S253" s="63">
        <v>0</v>
      </c>
      <c r="T253" s="377"/>
      <c r="U253" s="63">
        <v>0</v>
      </c>
      <c r="V253" s="343"/>
      <c r="W253" s="63">
        <v>0</v>
      </c>
      <c r="X253" s="343"/>
      <c r="Y253" s="213" t="e">
        <f t="shared" si="612"/>
        <v>#N/A</v>
      </c>
      <c r="Z253" s="371"/>
      <c r="AA253" s="63">
        <v>0</v>
      </c>
      <c r="AB253" s="352"/>
      <c r="AC253" s="63">
        <v>0</v>
      </c>
      <c r="AD253" s="352"/>
      <c r="AE253" s="75" t="e">
        <f t="shared" si="642"/>
        <v>#N/A</v>
      </c>
      <c r="AF253" s="357"/>
      <c r="AG253" s="75" t="e">
        <f t="shared" si="643"/>
        <v>#N/A</v>
      </c>
      <c r="AH253" s="357"/>
      <c r="AI253" s="223">
        <f>AI252</f>
        <v>29.26</v>
      </c>
      <c r="AJ253" s="83">
        <f t="shared" ref="AJ253:AP253" si="671">AJ252</f>
        <v>0.26750000000000002</v>
      </c>
      <c r="AK253" s="21">
        <f t="shared" si="671"/>
        <v>9.9166666666666661</v>
      </c>
      <c r="AL253" s="84">
        <f t="shared" si="671"/>
        <v>187</v>
      </c>
      <c r="AM253" s="83">
        <f t="shared" si="671"/>
        <v>9.737942583732058E-2</v>
      </c>
      <c r="AN253" s="84">
        <f t="shared" si="671"/>
        <v>143</v>
      </c>
      <c r="AO253" s="83">
        <f t="shared" si="671"/>
        <v>0.21099999999999999</v>
      </c>
      <c r="AP253" s="90">
        <f t="shared" si="671"/>
        <v>12</v>
      </c>
      <c r="AQ253" s="125">
        <f t="shared" si="545"/>
        <v>21.5</v>
      </c>
      <c r="AR253" s="125">
        <f t="shared" si="546"/>
        <v>11.5</v>
      </c>
      <c r="AS253" s="92">
        <f t="shared" si="547"/>
        <v>1.1830000000000001</v>
      </c>
      <c r="AT253" s="92">
        <f t="shared" si="625"/>
        <v>0</v>
      </c>
      <c r="AU253" s="98"/>
      <c r="AV253" s="99"/>
      <c r="AW253" s="57">
        <f t="shared" si="512"/>
        <v>0</v>
      </c>
      <c r="AX253" s="352"/>
      <c r="AY253" s="102">
        <f t="shared" si="551"/>
        <v>9.9166666666666661</v>
      </c>
      <c r="AZ253" s="361"/>
      <c r="BA253" s="92">
        <f t="shared" si="650"/>
        <v>-2424.2792136666671</v>
      </c>
      <c r="BB253" s="22">
        <f t="shared" si="645"/>
        <v>-9.9166666666666661</v>
      </c>
      <c r="BC253" s="364"/>
      <c r="BD253" s="92" t="e">
        <f t="shared" ca="1" si="513"/>
        <v>#N/A</v>
      </c>
      <c r="BE253" s="92" t="e">
        <f t="shared" ca="1" si="514"/>
        <v>#N/A</v>
      </c>
      <c r="BF253" s="92">
        <f t="shared" si="515"/>
        <v>31.833333333333329</v>
      </c>
      <c r="BG253" s="92" t="e">
        <f t="shared" ca="1" si="516"/>
        <v>#N/A</v>
      </c>
      <c r="BH253" s="92" t="e">
        <f t="shared" ca="1" si="561"/>
        <v>#N/A</v>
      </c>
      <c r="BI253" s="24" t="e">
        <f t="shared" ca="1" si="539"/>
        <v>#N/A</v>
      </c>
      <c r="BJ253" s="106">
        <f>((M253+Q253)*AJ253+AK253)+((U253-W253+W253/('Vergleich Holz Strom'!$B$8-0.6))*AO253+AP253)</f>
        <v>21.916666666666664</v>
      </c>
      <c r="BK253" s="24" t="e">
        <f t="shared" ca="1" si="646"/>
        <v>#N/A</v>
      </c>
      <c r="BL253" s="380"/>
      <c r="BM253" s="106" t="e">
        <f t="shared" ca="1" si="527"/>
        <v>#N/A</v>
      </c>
      <c r="BN253" s="226" t="e">
        <f ca="1">IF(ISNUMBER(BK253),BN252+SUMIF(BK242:BK253,"&lt;&gt;#NV",BK242:BK253)/COUNTIF(BK242:BK253,"&lt;&gt;#NV"),#N/A)</f>
        <v>#N/A</v>
      </c>
      <c r="BO253" s="318" t="e">
        <f t="shared" ca="1" si="670"/>
        <v>#N/A</v>
      </c>
      <c r="BP253" s="106" t="e">
        <f t="shared" ca="1" si="647"/>
        <v>#N/A</v>
      </c>
      <c r="BQ253" s="106">
        <f t="shared" ca="1" si="667"/>
        <v>-58783.102360002857</v>
      </c>
      <c r="BR253" s="24">
        <f t="shared" si="517"/>
        <v>9.9166666666666661</v>
      </c>
      <c r="BS253" s="312"/>
      <c r="BT253" s="308"/>
      <c r="BU253" s="296">
        <f t="shared" si="518"/>
        <v>0</v>
      </c>
      <c r="BV253" s="324"/>
      <c r="BW253" s="292">
        <f t="shared" si="519"/>
        <v>0</v>
      </c>
      <c r="BX253" s="295">
        <f t="shared" si="520"/>
        <v>0</v>
      </c>
      <c r="BY253" s="382"/>
      <c r="BZ253" s="299">
        <f t="shared" si="528"/>
        <v>0</v>
      </c>
      <c r="CA253" s="296">
        <f t="shared" si="540"/>
        <v>0</v>
      </c>
      <c r="CB253" s="324"/>
      <c r="CC253" s="315">
        <f t="shared" si="658"/>
        <v>0</v>
      </c>
      <c r="CD253" s="327"/>
      <c r="CE253" s="292">
        <f t="shared" si="521"/>
        <v>0</v>
      </c>
      <c r="CF253" s="296">
        <f t="shared" si="659"/>
        <v>0</v>
      </c>
      <c r="CG253" s="324"/>
      <c r="CH253" s="303">
        <f t="shared" si="558"/>
        <v>0</v>
      </c>
      <c r="CI253" s="110">
        <f t="shared" si="522"/>
        <v>0</v>
      </c>
      <c r="CJ253" s="200">
        <f t="shared" si="523"/>
        <v>0</v>
      </c>
      <c r="CK253" s="25">
        <f t="shared" si="549"/>
        <v>0</v>
      </c>
      <c r="CL253" s="204">
        <f t="shared" si="524"/>
        <v>12</v>
      </c>
      <c r="CM253" s="26">
        <f>U253*Jahresdaten!$AD$2</f>
        <v>0</v>
      </c>
      <c r="CN253" s="114">
        <f>CJ253*Jahresdaten!$AD$2</f>
        <v>0</v>
      </c>
      <c r="CO253" s="346"/>
      <c r="CP253" s="118">
        <f>U253*Jahresdaten!$AD$3</f>
        <v>0</v>
      </c>
      <c r="CQ253" s="25">
        <f>CJ253*Jahresdaten!$AD$3</f>
        <v>0</v>
      </c>
      <c r="CR253" s="354"/>
      <c r="CS253" s="23"/>
      <c r="CT253" s="138"/>
      <c r="CU253" s="141" t="str">
        <f>IF(CT253=0,"",CT253*'Vergleich Holz Strom'!$B$2)</f>
        <v/>
      </c>
      <c r="CV253" s="354"/>
      <c r="CW253" s="346"/>
      <c r="CX253" s="346"/>
      <c r="CY253" s="346"/>
      <c r="CZ253" s="346"/>
      <c r="DA253" s="349"/>
      <c r="DB253" s="98"/>
      <c r="DC253" s="90">
        <f t="shared" si="632"/>
        <v>42517.511333333379</v>
      </c>
      <c r="DD253" s="98"/>
      <c r="DE253" s="90">
        <f t="shared" si="634"/>
        <v>-33429.112546999997</v>
      </c>
      <c r="DF253" s="102" t="e">
        <f ca="1">BE253+(SUM(CS242:CS253)/12)</f>
        <v>#N/A</v>
      </c>
      <c r="DG253" s="352"/>
      <c r="DH253" s="19">
        <f t="shared" si="651"/>
        <v>0</v>
      </c>
      <c r="DI253" s="125">
        <f t="shared" si="648"/>
        <v>20800</v>
      </c>
      <c r="DJ253" s="20">
        <f t="shared" si="652"/>
        <v>0</v>
      </c>
      <c r="DK253" s="129">
        <f>DK241</f>
        <v>7800</v>
      </c>
      <c r="DL253" s="20">
        <f t="shared" si="618"/>
        <v>650</v>
      </c>
      <c r="DM253" s="132">
        <f t="shared" si="653"/>
        <v>0</v>
      </c>
      <c r="DN253" s="27">
        <f>DN241</f>
        <v>3000</v>
      </c>
      <c r="DO253" s="132">
        <f t="shared" si="620"/>
        <v>250</v>
      </c>
      <c r="DP253" s="26">
        <f t="shared" si="654"/>
        <v>0</v>
      </c>
      <c r="DQ253" s="118">
        <f>DQ241</f>
        <v>10000</v>
      </c>
      <c r="DR253" s="118">
        <f>DR241</f>
        <v>600</v>
      </c>
    </row>
    <row r="254" spans="1:122" ht="15" customHeight="1" thickBot="1" x14ac:dyDescent="0.2">
      <c r="A254" s="415" t="s">
        <v>179</v>
      </c>
      <c r="B254" s="16">
        <v>51044</v>
      </c>
      <c r="C254" s="207">
        <f>'PV-Felder'!$I$11</f>
        <v>1416.7</v>
      </c>
      <c r="D254" s="358">
        <f>SUMIF(E254:E265,"&gt;0",C254:C265)</f>
        <v>0</v>
      </c>
      <c r="E254" s="61">
        <v>0</v>
      </c>
      <c r="F254" s="368">
        <f>SUM(E254:E265)</f>
        <v>0</v>
      </c>
      <c r="G254" s="58" t="e">
        <f t="shared" ca="1" si="509"/>
        <v>#N/A</v>
      </c>
      <c r="H254" s="358" t="e">
        <f ca="1">IF(TODAY()&lt;B254,#N/A,F254-D254)</f>
        <v>#N/A</v>
      </c>
      <c r="I254" s="61">
        <v>0</v>
      </c>
      <c r="J254" s="368">
        <f>SUM(I254:I265)</f>
        <v>0</v>
      </c>
      <c r="K254" s="61">
        <v>0</v>
      </c>
      <c r="L254" s="368">
        <f>SUM(K254:K265)</f>
        <v>0</v>
      </c>
      <c r="M254" s="66">
        <f t="shared" si="536"/>
        <v>0</v>
      </c>
      <c r="N254" s="372">
        <f>SUM(M254:M265)</f>
        <v>0</v>
      </c>
      <c r="Q254" s="287">
        <f t="shared" si="510"/>
        <v>0</v>
      </c>
      <c r="R254" s="333">
        <f>SUM(Q254:Q265)</f>
        <v>0</v>
      </c>
      <c r="S254" s="61">
        <v>0</v>
      </c>
      <c r="T254" s="375">
        <f>SUM(S254:S265)</f>
        <v>0</v>
      </c>
      <c r="U254" s="61">
        <v>0</v>
      </c>
      <c r="V254" s="341">
        <f>SUM(U254:U265)</f>
        <v>0</v>
      </c>
      <c r="W254" s="61">
        <v>0</v>
      </c>
      <c r="X254" s="341">
        <f>SUM(W254:W265)</f>
        <v>0</v>
      </c>
      <c r="Y254" s="211" t="e">
        <f t="shared" si="612"/>
        <v>#N/A</v>
      </c>
      <c r="Z254" s="369">
        <f>N254+T254+V254</f>
        <v>0</v>
      </c>
      <c r="AA254" s="62">
        <v>0</v>
      </c>
      <c r="AB254" s="368">
        <f>SUM(AA254:AA265)</f>
        <v>0</v>
      </c>
      <c r="AC254" s="62">
        <v>0</v>
      </c>
      <c r="AD254" s="368">
        <f>SUM(AC254:AC265)</f>
        <v>0</v>
      </c>
      <c r="AE254" s="74" t="e">
        <f t="shared" si="642"/>
        <v>#N/A</v>
      </c>
      <c r="AF254" s="355" t="e">
        <f>IF(SUMIF(AE254:AE265,"&gt;0")&gt;0,SUMIF(AE254:AE265,"&gt;0")/COUNTIF(AE254:AE265,"&gt;0"),#N/A)</f>
        <v>#N/A</v>
      </c>
      <c r="AG254" s="73" t="e">
        <f t="shared" si="643"/>
        <v>#N/A</v>
      </c>
      <c r="AH254" s="355" t="e">
        <f>IF(SUMIF(AG254:AG265,"&gt;0")&gt;0,SUMIF(AG254:AG265,"&gt;0")/COUNTIF(AG254:AG265,"&gt;0"),#N/A)</f>
        <v>#N/A</v>
      </c>
      <c r="AI254" s="222">
        <f>AI253</f>
        <v>29.26</v>
      </c>
      <c r="AJ254" s="78">
        <f t="shared" ref="AJ254:AP254" si="672">AJ253</f>
        <v>0.26750000000000002</v>
      </c>
      <c r="AK254" s="79">
        <f t="shared" si="672"/>
        <v>9.9166666666666661</v>
      </c>
      <c r="AL254" s="80">
        <f t="shared" si="672"/>
        <v>187</v>
      </c>
      <c r="AM254" s="78">
        <f t="shared" si="672"/>
        <v>9.737942583732058E-2</v>
      </c>
      <c r="AN254" s="80">
        <f t="shared" si="672"/>
        <v>143</v>
      </c>
      <c r="AO254" s="78">
        <f t="shared" si="672"/>
        <v>0.21099999999999999</v>
      </c>
      <c r="AP254" s="88">
        <f t="shared" si="672"/>
        <v>12</v>
      </c>
      <c r="AQ254" s="64">
        <f t="shared" si="545"/>
        <v>21.5</v>
      </c>
      <c r="AR254" s="64">
        <f t="shared" si="546"/>
        <v>11.5</v>
      </c>
      <c r="AS254" s="88">
        <f t="shared" si="547"/>
        <v>1.1830000000000001</v>
      </c>
      <c r="AT254" s="91">
        <f t="shared" si="625"/>
        <v>0</v>
      </c>
      <c r="AU254" s="94"/>
      <c r="AV254" s="95"/>
      <c r="AW254" s="56">
        <f t="shared" si="512"/>
        <v>0</v>
      </c>
      <c r="AX254" s="358">
        <f>SUM(AW254:AW265)</f>
        <v>0</v>
      </c>
      <c r="AY254" s="100">
        <f t="shared" si="551"/>
        <v>9.9166666666666661</v>
      </c>
      <c r="AZ254" s="359">
        <f>SUM(AY254:AY265)</f>
        <v>119.00000000000001</v>
      </c>
      <c r="BA254" s="103">
        <f>BA253-AY254</f>
        <v>-2434.1958803333337</v>
      </c>
      <c r="BB254" s="5">
        <f t="shared" si="645"/>
        <v>-9.9166666666666661</v>
      </c>
      <c r="BC254" s="362">
        <f>SUM(AY254:AY265)/12</f>
        <v>9.9166666666666679</v>
      </c>
      <c r="BD254" s="91" t="e">
        <f t="shared" ca="1" si="513"/>
        <v>#N/A</v>
      </c>
      <c r="BE254" s="91" t="e">
        <f t="shared" ca="1" si="514"/>
        <v>#N/A</v>
      </c>
      <c r="BF254" s="91">
        <f t="shared" si="515"/>
        <v>31.833333333333329</v>
      </c>
      <c r="BG254" s="91" t="e">
        <f t="shared" ca="1" si="516"/>
        <v>#N/A</v>
      </c>
      <c r="BH254" s="91" t="e">
        <f t="shared" ca="1" si="561"/>
        <v>#N/A</v>
      </c>
      <c r="BI254" s="10" t="e">
        <f t="shared" ca="1" si="539"/>
        <v>#N/A</v>
      </c>
      <c r="BJ254" s="104">
        <f>((M254+Q254)*AJ254+AK254)+((U254-W254+W254/('Vergleich Holz Strom'!$B$8-0.6))*AO254+AP254)</f>
        <v>21.916666666666664</v>
      </c>
      <c r="BK254" s="10" t="e">
        <f t="shared" ca="1" si="646"/>
        <v>#N/A</v>
      </c>
      <c r="BL254" s="378">
        <f ca="1">SUMIF(BK254:BK265,"&lt;&gt;#NV",BK254:BK265)</f>
        <v>0</v>
      </c>
      <c r="BM254" s="104" t="e">
        <f t="shared" ca="1" si="527"/>
        <v>#N/A</v>
      </c>
      <c r="BN254" s="40" t="e">
        <f ca="1">IF(ISNUMBER(BK254),BN253+SUMIF(BK254:BK265,"&lt;&gt;#NV",BK254:BK265)/COUNTIF(BK254:BK265,"&lt;&gt;#NV"),#N/A)</f>
        <v>#N/A</v>
      </c>
      <c r="BO254" s="10" t="e">
        <f t="shared" ca="1" si="670"/>
        <v>#N/A</v>
      </c>
      <c r="BP254" s="105" t="e">
        <f t="shared" ca="1" si="647"/>
        <v>#N/A</v>
      </c>
      <c r="BQ254" s="104">
        <f t="shared" ca="1" si="667"/>
        <v>-58771.102360002857</v>
      </c>
      <c r="BR254" s="10">
        <f t="shared" si="517"/>
        <v>9.9166666666666661</v>
      </c>
      <c r="BS254" s="311"/>
      <c r="BT254" s="307"/>
      <c r="BU254" s="295">
        <f t="shared" si="518"/>
        <v>0</v>
      </c>
      <c r="BV254" s="322">
        <f>SUM(BU254:BU265)</f>
        <v>0</v>
      </c>
      <c r="BW254" s="300">
        <f t="shared" si="519"/>
        <v>0</v>
      </c>
      <c r="BX254" s="305">
        <f t="shared" si="520"/>
        <v>0</v>
      </c>
      <c r="BY254" s="381">
        <f>SUM(BX254:BX265)</f>
        <v>0</v>
      </c>
      <c r="BZ254" s="300">
        <f t="shared" si="528"/>
        <v>0</v>
      </c>
      <c r="CA254" s="295">
        <f t="shared" si="540"/>
        <v>0</v>
      </c>
      <c r="CB254" s="322">
        <f>SUM(CA254:CA265)</f>
        <v>0</v>
      </c>
      <c r="CC254" s="314">
        <f t="shared" si="658"/>
        <v>0</v>
      </c>
      <c r="CD254" s="325">
        <f>SUM(CC254:CC265)</f>
        <v>0</v>
      </c>
      <c r="CE254" s="299">
        <f t="shared" si="521"/>
        <v>0</v>
      </c>
      <c r="CF254" s="284">
        <f t="shared" si="659"/>
        <v>0</v>
      </c>
      <c r="CG254" s="328">
        <f>SUM(CF254:CF265)</f>
        <v>0</v>
      </c>
      <c r="CH254" s="302">
        <f t="shared" si="558"/>
        <v>0</v>
      </c>
      <c r="CI254" s="108">
        <f t="shared" si="522"/>
        <v>0</v>
      </c>
      <c r="CJ254" s="201">
        <f t="shared" si="523"/>
        <v>0</v>
      </c>
      <c r="CK254" s="197">
        <f t="shared" si="549"/>
        <v>0</v>
      </c>
      <c r="CL254" s="203">
        <f t="shared" si="524"/>
        <v>12</v>
      </c>
      <c r="CM254" s="4">
        <f>U254*Jahresdaten!$AD$2</f>
        <v>0</v>
      </c>
      <c r="CN254" s="112">
        <f>CJ254*Jahresdaten!$AD$2</f>
        <v>0</v>
      </c>
      <c r="CO254" s="365">
        <f>CW254*Jahresdaten!$AD$2</f>
        <v>856.59076092206669</v>
      </c>
      <c r="CP254" s="116">
        <f>U254*Jahresdaten!$AD$3</f>
        <v>0</v>
      </c>
      <c r="CQ254" s="12">
        <f>CJ254*Jahresdaten!$AD$3</f>
        <v>0</v>
      </c>
      <c r="CR254" s="367">
        <f>CW254*Jahresdaten!$AD$3</f>
        <v>312.40923907793319</v>
      </c>
      <c r="CS254" s="14">
        <f>CS242</f>
        <v>1169</v>
      </c>
      <c r="CT254" s="136">
        <f>CT242</f>
        <v>12</v>
      </c>
      <c r="CU254" s="140">
        <f>IF(CT254=0,"",CT254*'Vergleich Holz Strom'!$B$2)</f>
        <v>25800</v>
      </c>
      <c r="CV254" s="120" t="s">
        <v>7</v>
      </c>
      <c r="CW254" s="365">
        <f>CV255+CV261</f>
        <v>1169</v>
      </c>
      <c r="CX254" s="344">
        <f>SUM(CS254:CS265)/SUM(CU254:CU265)*(SUM(CU254:CU265)+(V254*('Vergleich Holz Strom'!$B$8-0.6)/'Vergleich Holz Strom'!$E$6))</f>
        <v>1169</v>
      </c>
      <c r="CY254" s="344">
        <f>SUM(CU254:CU265)*'Vergleich Holz Strom'!$E$6/('Vergleich Holz Strom'!$B$8-0.6)*(SUM(AJ254:AJ265)/12)+CV255</f>
        <v>1420.8970588235295</v>
      </c>
      <c r="CZ254" s="344">
        <f>SUM(CU254:CU265)*'Vergleich Holz Strom'!$E$6/('Vergleich Holz Strom'!$B$8-0.6)*SUM(AM254:AM265)/12+SUM(CK254:CK265)</f>
        <v>517.25659724176774</v>
      </c>
      <c r="DA254" s="347">
        <f>SUM(CU254:CU265)*'Vergleich Holz Strom'!$E$6/('Vergleich Holz Strom'!$B$8-0.6)*(SUM(AO254:AO265)/12)+SUM(CL254:CL265)</f>
        <v>1264.7823529411764</v>
      </c>
      <c r="DB254" s="94"/>
      <c r="DC254" s="88">
        <f t="shared" si="632"/>
        <v>42694.594666666715</v>
      </c>
      <c r="DD254" s="94"/>
      <c r="DE254" s="88">
        <f t="shared" si="634"/>
        <v>-33572.112546999997</v>
      </c>
      <c r="DF254" s="100" t="e">
        <f ca="1">BE254+(SUM(CS254:CS265)/12)</f>
        <v>#N/A</v>
      </c>
      <c r="DG254" s="350">
        <f ca="1">SUMIF(DF254:DF265,"&gt;0")</f>
        <v>0</v>
      </c>
      <c r="DH254" s="8">
        <f>M254+S254+U254</f>
        <v>0</v>
      </c>
      <c r="DI254" s="123">
        <f t="shared" si="648"/>
        <v>1850</v>
      </c>
      <c r="DJ254" s="2">
        <f>M254</f>
        <v>0</v>
      </c>
      <c r="DK254" s="127">
        <f>DK265/12*1</f>
        <v>650</v>
      </c>
      <c r="DL254" s="2">
        <f>DL253</f>
        <v>650</v>
      </c>
      <c r="DM254" s="130">
        <f>S254</f>
        <v>0</v>
      </c>
      <c r="DN254" s="3">
        <f>DN265/12*1</f>
        <v>250</v>
      </c>
      <c r="DO254" s="130">
        <f>DO253</f>
        <v>250</v>
      </c>
      <c r="DP254" s="4">
        <f>U254</f>
        <v>0</v>
      </c>
      <c r="DQ254" s="116">
        <f>DR254</f>
        <v>950</v>
      </c>
      <c r="DR254" s="116">
        <f>DR242</f>
        <v>950</v>
      </c>
    </row>
    <row r="255" spans="1:122" ht="14.25" customHeight="1" thickBot="1" x14ac:dyDescent="0.2">
      <c r="A255" s="416"/>
      <c r="B255" s="16">
        <v>51075</v>
      </c>
      <c r="C255" s="207">
        <f>'PV-Felder'!$I$12</f>
        <v>739.6</v>
      </c>
      <c r="D255" s="351"/>
      <c r="E255" s="61">
        <v>0</v>
      </c>
      <c r="F255" s="351"/>
      <c r="G255" s="56" t="e">
        <f t="shared" ca="1" si="509"/>
        <v>#N/A</v>
      </c>
      <c r="H255" s="351"/>
      <c r="I255" s="61">
        <v>0</v>
      </c>
      <c r="J255" s="351"/>
      <c r="K255" s="61">
        <v>0</v>
      </c>
      <c r="L255" s="351"/>
      <c r="M255" s="65">
        <f t="shared" si="536"/>
        <v>0</v>
      </c>
      <c r="N255" s="373"/>
      <c r="O255" s="288"/>
      <c r="P255" s="288"/>
      <c r="Q255" s="286">
        <f t="shared" si="510"/>
        <v>0</v>
      </c>
      <c r="R255" s="334"/>
      <c r="S255" s="61">
        <v>0</v>
      </c>
      <c r="T255" s="376"/>
      <c r="U255" s="61">
        <v>0</v>
      </c>
      <c r="V255" s="342"/>
      <c r="W255" s="61">
        <v>0</v>
      </c>
      <c r="X255" s="342"/>
      <c r="Y255" s="211" t="e">
        <f t="shared" si="612"/>
        <v>#N/A</v>
      </c>
      <c r="Z255" s="370"/>
      <c r="AA255" s="61">
        <v>0</v>
      </c>
      <c r="AB255" s="351"/>
      <c r="AC255" s="61">
        <v>0</v>
      </c>
      <c r="AD255" s="351"/>
      <c r="AE255" s="73" t="e">
        <f t="shared" si="642"/>
        <v>#N/A</v>
      </c>
      <c r="AF255" s="356"/>
      <c r="AG255" s="73" t="e">
        <f t="shared" si="643"/>
        <v>#N/A</v>
      </c>
      <c r="AH255" s="356"/>
      <c r="AI255" s="221">
        <f>AI254</f>
        <v>29.26</v>
      </c>
      <c r="AJ255" s="78">
        <f t="shared" ref="AJ255:AN255" si="673">AJ254</f>
        <v>0.26750000000000002</v>
      </c>
      <c r="AK255" s="79">
        <f t="shared" si="673"/>
        <v>9.9166666666666661</v>
      </c>
      <c r="AL255" s="80">
        <f t="shared" si="673"/>
        <v>187</v>
      </c>
      <c r="AM255" s="78">
        <f t="shared" si="673"/>
        <v>9.737942583732058E-2</v>
      </c>
      <c r="AN255" s="80">
        <f t="shared" si="673"/>
        <v>143</v>
      </c>
      <c r="AO255" s="78">
        <f>AO254</f>
        <v>0.21099999999999999</v>
      </c>
      <c r="AP255" s="88">
        <f>AP254</f>
        <v>12</v>
      </c>
      <c r="AQ255" s="64">
        <f t="shared" si="545"/>
        <v>21.5</v>
      </c>
      <c r="AR255" s="64">
        <f t="shared" si="546"/>
        <v>11.5</v>
      </c>
      <c r="AS255" s="88">
        <f t="shared" si="547"/>
        <v>1.1830000000000001</v>
      </c>
      <c r="AT255" s="91">
        <f t="shared" si="625"/>
        <v>0</v>
      </c>
      <c r="AU255" s="94"/>
      <c r="AV255" s="95"/>
      <c r="AW255" s="56">
        <f t="shared" si="512"/>
        <v>0</v>
      </c>
      <c r="AX255" s="351"/>
      <c r="AY255" s="100">
        <f t="shared" si="551"/>
        <v>9.9166666666666661</v>
      </c>
      <c r="AZ255" s="360"/>
      <c r="BA255" s="91">
        <f t="shared" ref="BA255:BA265" si="674">BA254-AY255</f>
        <v>-2444.1125470000002</v>
      </c>
      <c r="BB255" s="5">
        <f t="shared" si="645"/>
        <v>-9.9166666666666661</v>
      </c>
      <c r="BC255" s="363"/>
      <c r="BD255" s="91" t="e">
        <f t="shared" ca="1" si="513"/>
        <v>#N/A</v>
      </c>
      <c r="BE255" s="91" t="e">
        <f t="shared" ca="1" si="514"/>
        <v>#N/A</v>
      </c>
      <c r="BF255" s="91">
        <f t="shared" si="515"/>
        <v>31.833333333333329</v>
      </c>
      <c r="BG255" s="91" t="e">
        <f t="shared" ca="1" si="516"/>
        <v>#N/A</v>
      </c>
      <c r="BH255" s="91" t="e">
        <f t="shared" ca="1" si="561"/>
        <v>#N/A</v>
      </c>
      <c r="BI255" s="10" t="e">
        <f t="shared" ca="1" si="539"/>
        <v>#N/A</v>
      </c>
      <c r="BJ255" s="104">
        <f>((M255+Q255)*AJ255+AK255)+((U255-W255+W255/('Vergleich Holz Strom'!$B$8-0.6))*AO255+AP255)</f>
        <v>21.916666666666664</v>
      </c>
      <c r="BK255" s="10" t="e">
        <f t="shared" ca="1" si="646"/>
        <v>#N/A</v>
      </c>
      <c r="BL255" s="379"/>
      <c r="BM255" s="104" t="e">
        <f t="shared" ca="1" si="527"/>
        <v>#N/A</v>
      </c>
      <c r="BN255" s="40" t="e">
        <f ca="1">IF(ISNUMBER(BK255),BN254+SUMIF(BK254:BK265,"&lt;&gt;#NV",BK254:BK265)/COUNTIF(BK254:BK265,"&lt;&gt;#NV"),#N/A)</f>
        <v>#N/A</v>
      </c>
      <c r="BO255" s="10" t="e">
        <f t="shared" ca="1" si="670"/>
        <v>#N/A</v>
      </c>
      <c r="BP255" s="104" t="e">
        <f t="shared" ca="1" si="647"/>
        <v>#N/A</v>
      </c>
      <c r="BQ255" s="104">
        <f t="shared" ca="1" si="667"/>
        <v>-58759.102360002857</v>
      </c>
      <c r="BR255" s="10">
        <f t="shared" si="517"/>
        <v>9.9166666666666661</v>
      </c>
      <c r="BS255" s="311"/>
      <c r="BT255" s="307"/>
      <c r="BU255" s="295">
        <f t="shared" si="518"/>
        <v>0</v>
      </c>
      <c r="BV255" s="323"/>
      <c r="BW255" s="299">
        <f t="shared" si="519"/>
        <v>0</v>
      </c>
      <c r="BX255" s="295">
        <f t="shared" si="520"/>
        <v>0</v>
      </c>
      <c r="BY255" s="382"/>
      <c r="BZ255" s="299">
        <f t="shared" si="528"/>
        <v>0</v>
      </c>
      <c r="CA255" s="295">
        <f t="shared" si="540"/>
        <v>0</v>
      </c>
      <c r="CB255" s="323"/>
      <c r="CC255" s="314">
        <f>Q255/AQ255*100+BS255/AQ255*100</f>
        <v>0</v>
      </c>
      <c r="CD255" s="326"/>
      <c r="CE255" s="299">
        <f t="shared" si="521"/>
        <v>0</v>
      </c>
      <c r="CF255" s="284">
        <f>CE255-CA255</f>
        <v>0</v>
      </c>
      <c r="CG255" s="323"/>
      <c r="CH255" s="302">
        <f t="shared" si="558"/>
        <v>0</v>
      </c>
      <c r="CI255" s="108">
        <f t="shared" si="522"/>
        <v>0</v>
      </c>
      <c r="CJ255" s="200">
        <f t="shared" si="523"/>
        <v>0</v>
      </c>
      <c r="CK255" s="197">
        <f t="shared" si="549"/>
        <v>0</v>
      </c>
      <c r="CL255" s="203">
        <f t="shared" si="524"/>
        <v>12</v>
      </c>
      <c r="CM255" s="4">
        <f>U255*Jahresdaten!$AD$2</f>
        <v>0</v>
      </c>
      <c r="CN255" s="112">
        <f>CJ255*Jahresdaten!$AD$2</f>
        <v>0</v>
      </c>
      <c r="CO255" s="366"/>
      <c r="CP255" s="116">
        <f>U255*Jahresdaten!$AD$3</f>
        <v>0</v>
      </c>
      <c r="CQ255" s="12">
        <f>CJ255*Jahresdaten!$AD$3</f>
        <v>0</v>
      </c>
      <c r="CR255" s="353"/>
      <c r="CS255" s="14"/>
      <c r="CT255" s="136"/>
      <c r="CU255" s="140" t="str">
        <f>IF(CT255=0,"",CT255*'Vergleich Holz Strom'!$B$2)</f>
        <v/>
      </c>
      <c r="CV255" s="353">
        <f>SUM(CJ254:CJ265)</f>
        <v>0</v>
      </c>
      <c r="CW255" s="366"/>
      <c r="CX255" s="345"/>
      <c r="CY255" s="345"/>
      <c r="CZ255" s="345"/>
      <c r="DA255" s="348"/>
      <c r="DB255" s="94"/>
      <c r="DC255" s="88">
        <f t="shared" si="632"/>
        <v>42871.678000000051</v>
      </c>
      <c r="DD255" s="94"/>
      <c r="DE255" s="88">
        <f t="shared" si="634"/>
        <v>-33715.112546999997</v>
      </c>
      <c r="DF255" s="100" t="e">
        <f ca="1">BE255+(SUM(CS254:CS265)/12)</f>
        <v>#N/A</v>
      </c>
      <c r="DG255" s="351"/>
      <c r="DH255" s="8">
        <f t="shared" ref="DH255:DH265" si="675">DH254+M255+S255+U255</f>
        <v>0</v>
      </c>
      <c r="DI255" s="123">
        <f t="shared" si="648"/>
        <v>3550</v>
      </c>
      <c r="DJ255" s="2">
        <f t="shared" ref="DJ255:DJ265" si="676">DJ254+M255</f>
        <v>0</v>
      </c>
      <c r="DK255" s="127">
        <f>DK265/12*2</f>
        <v>1300</v>
      </c>
      <c r="DL255" s="2">
        <f t="shared" si="618"/>
        <v>650</v>
      </c>
      <c r="DM255" s="130">
        <f t="shared" ref="DM255:DM265" si="677">DM254+S255</f>
        <v>0</v>
      </c>
      <c r="DN255" s="3">
        <f>DN265/12*2</f>
        <v>500</v>
      </c>
      <c r="DO255" s="130">
        <f t="shared" si="620"/>
        <v>250</v>
      </c>
      <c r="DP255" s="4">
        <f t="shared" ref="DP255:DP265" si="678">DP254+U255</f>
        <v>0</v>
      </c>
      <c r="DQ255" s="116">
        <f t="shared" ref="DQ255:DQ264" si="679">DQ254+DR255</f>
        <v>1750</v>
      </c>
      <c r="DR255" s="116">
        <f>DR243</f>
        <v>800</v>
      </c>
    </row>
    <row r="256" spans="1:122" ht="14.25" customHeight="1" thickBot="1" x14ac:dyDescent="0.2">
      <c r="A256" s="416"/>
      <c r="B256" s="16">
        <v>51105</v>
      </c>
      <c r="C256" s="207">
        <f>'PV-Felder'!$I$13</f>
        <v>559.9</v>
      </c>
      <c r="D256" s="351"/>
      <c r="E256" s="61">
        <v>0</v>
      </c>
      <c r="F256" s="351"/>
      <c r="G256" s="56" t="e">
        <f t="shared" ca="1" si="509"/>
        <v>#N/A</v>
      </c>
      <c r="H256" s="351"/>
      <c r="I256" s="61">
        <v>0</v>
      </c>
      <c r="J256" s="351"/>
      <c r="K256" s="61">
        <v>0</v>
      </c>
      <c r="L256" s="351"/>
      <c r="M256" s="65">
        <f t="shared" si="536"/>
        <v>0</v>
      </c>
      <c r="N256" s="373"/>
      <c r="O256" s="288"/>
      <c r="P256" s="288"/>
      <c r="Q256" s="286">
        <f t="shared" si="510"/>
        <v>0</v>
      </c>
      <c r="R256" s="334"/>
      <c r="S256" s="61">
        <v>0</v>
      </c>
      <c r="T256" s="376"/>
      <c r="U256" s="61">
        <v>0</v>
      </c>
      <c r="V256" s="342"/>
      <c r="W256" s="61">
        <v>0</v>
      </c>
      <c r="X256" s="342"/>
      <c r="Y256" s="211" t="e">
        <f t="shared" si="612"/>
        <v>#N/A</v>
      </c>
      <c r="Z256" s="370"/>
      <c r="AA256" s="61">
        <v>0</v>
      </c>
      <c r="AB256" s="351"/>
      <c r="AC256" s="61">
        <v>0</v>
      </c>
      <c r="AD256" s="351"/>
      <c r="AE256" s="73" t="e">
        <f t="shared" si="642"/>
        <v>#N/A</v>
      </c>
      <c r="AF256" s="356"/>
      <c r="AG256" s="73" t="e">
        <f t="shared" si="643"/>
        <v>#N/A</v>
      </c>
      <c r="AH256" s="356"/>
      <c r="AI256" s="221">
        <f t="shared" ref="AI256:AI264" si="680">AI255</f>
        <v>29.26</v>
      </c>
      <c r="AJ256" s="78">
        <f t="shared" ref="AJ256:AN256" si="681">AJ255</f>
        <v>0.26750000000000002</v>
      </c>
      <c r="AK256" s="79">
        <f t="shared" si="681"/>
        <v>9.9166666666666661</v>
      </c>
      <c r="AL256" s="80">
        <f t="shared" si="681"/>
        <v>187</v>
      </c>
      <c r="AM256" s="78">
        <f t="shared" si="681"/>
        <v>9.737942583732058E-2</v>
      </c>
      <c r="AN256" s="80">
        <f t="shared" si="681"/>
        <v>143</v>
      </c>
      <c r="AO256" s="78">
        <f>AO255</f>
        <v>0.21099999999999999</v>
      </c>
      <c r="AP256" s="88">
        <f>AP255</f>
        <v>12</v>
      </c>
      <c r="AQ256" s="64">
        <f t="shared" si="545"/>
        <v>21.5</v>
      </c>
      <c r="AR256" s="64">
        <f t="shared" si="546"/>
        <v>11.5</v>
      </c>
      <c r="AS256" s="88">
        <f t="shared" si="547"/>
        <v>1.1830000000000001</v>
      </c>
      <c r="AT256" s="91">
        <f t="shared" si="625"/>
        <v>0</v>
      </c>
      <c r="AU256" s="94"/>
      <c r="AV256" s="95"/>
      <c r="AW256" s="56">
        <f t="shared" si="512"/>
        <v>0</v>
      </c>
      <c r="AX256" s="351"/>
      <c r="AY256" s="100">
        <f t="shared" si="551"/>
        <v>9.9166666666666661</v>
      </c>
      <c r="AZ256" s="360"/>
      <c r="BA256" s="91">
        <f t="shared" si="674"/>
        <v>-2454.0292136666667</v>
      </c>
      <c r="BB256" s="5">
        <f t="shared" si="645"/>
        <v>-9.9166666666666661</v>
      </c>
      <c r="BC256" s="363"/>
      <c r="BD256" s="91" t="e">
        <f t="shared" ca="1" si="513"/>
        <v>#N/A</v>
      </c>
      <c r="BE256" s="91" t="e">
        <f t="shared" ca="1" si="514"/>
        <v>#N/A</v>
      </c>
      <c r="BF256" s="91">
        <f t="shared" si="515"/>
        <v>31.833333333333329</v>
      </c>
      <c r="BG256" s="91" t="e">
        <f t="shared" ca="1" si="516"/>
        <v>#N/A</v>
      </c>
      <c r="BH256" s="91" t="e">
        <f t="shared" ca="1" si="561"/>
        <v>#N/A</v>
      </c>
      <c r="BI256" s="10" t="e">
        <f t="shared" ca="1" si="539"/>
        <v>#N/A</v>
      </c>
      <c r="BJ256" s="104">
        <f>((M256+Q256)*AJ256+AK256)+((U256-W256+W256/('Vergleich Holz Strom'!$B$8-0.6))*AO256+AP256)</f>
        <v>21.916666666666664</v>
      </c>
      <c r="BK256" s="10" t="e">
        <f t="shared" ca="1" si="646"/>
        <v>#N/A</v>
      </c>
      <c r="BL256" s="379"/>
      <c r="BM256" s="104" t="e">
        <f t="shared" ca="1" si="527"/>
        <v>#N/A</v>
      </c>
      <c r="BN256" s="40" t="e">
        <f ca="1">IF(ISNUMBER(BK256),BN255+SUMIF(BK254:BK265,"&lt;&gt;#NV",BK254:BK265)/COUNTIF(BK254:BK265,"&lt;&gt;#NV"),#N/A)</f>
        <v>#N/A</v>
      </c>
      <c r="BO256" s="10" t="e">
        <f t="shared" ca="1" si="670"/>
        <v>#N/A</v>
      </c>
      <c r="BP256" s="104" t="e">
        <f t="shared" ca="1" si="647"/>
        <v>#N/A</v>
      </c>
      <c r="BQ256" s="104">
        <f t="shared" ca="1" si="667"/>
        <v>-58747.102360002857</v>
      </c>
      <c r="BR256" s="10">
        <f t="shared" si="517"/>
        <v>9.9166666666666661</v>
      </c>
      <c r="BS256" s="311"/>
      <c r="BT256" s="307"/>
      <c r="BU256" s="295">
        <f t="shared" si="518"/>
        <v>0</v>
      </c>
      <c r="BV256" s="323"/>
      <c r="BW256" s="299">
        <f t="shared" si="519"/>
        <v>0</v>
      </c>
      <c r="BX256" s="295">
        <f t="shared" si="520"/>
        <v>0</v>
      </c>
      <c r="BY256" s="382"/>
      <c r="BZ256" s="299">
        <f t="shared" si="528"/>
        <v>0</v>
      </c>
      <c r="CA256" s="295">
        <f t="shared" si="540"/>
        <v>0</v>
      </c>
      <c r="CB256" s="323"/>
      <c r="CC256" s="314">
        <f t="shared" ref="CC256:CC266" si="682">Q256/AQ256*100+BS256/AQ256*100</f>
        <v>0</v>
      </c>
      <c r="CD256" s="326"/>
      <c r="CE256" s="299">
        <f t="shared" si="521"/>
        <v>0</v>
      </c>
      <c r="CF256" s="284">
        <f t="shared" ref="CF256:CF266" si="683">CE256-CA256</f>
        <v>0</v>
      </c>
      <c r="CG256" s="323"/>
      <c r="CH256" s="302">
        <f t="shared" si="558"/>
        <v>0</v>
      </c>
      <c r="CI256" s="108">
        <f t="shared" si="522"/>
        <v>0</v>
      </c>
      <c r="CJ256" s="200">
        <f t="shared" si="523"/>
        <v>0</v>
      </c>
      <c r="CK256" s="197">
        <f t="shared" si="549"/>
        <v>0</v>
      </c>
      <c r="CL256" s="203">
        <f t="shared" si="524"/>
        <v>12</v>
      </c>
      <c r="CM256" s="4">
        <f>U256*Jahresdaten!$AD$2</f>
        <v>0</v>
      </c>
      <c r="CN256" s="112">
        <f>CJ256*Jahresdaten!$AD$2</f>
        <v>0</v>
      </c>
      <c r="CO256" s="366"/>
      <c r="CP256" s="116">
        <f>U256*Jahresdaten!$AD$3</f>
        <v>0</v>
      </c>
      <c r="CQ256" s="12">
        <f>CJ256*Jahresdaten!$AD$3</f>
        <v>0</v>
      </c>
      <c r="CR256" s="353"/>
      <c r="CS256" s="14"/>
      <c r="CT256" s="136"/>
      <c r="CU256" s="140" t="str">
        <f>IF(CT256=0,"",CT256*'Vergleich Holz Strom'!$B$2)</f>
        <v/>
      </c>
      <c r="CV256" s="353"/>
      <c r="CW256" s="366"/>
      <c r="CX256" s="345"/>
      <c r="CY256" s="345"/>
      <c r="CZ256" s="345"/>
      <c r="DA256" s="348"/>
      <c r="DB256" s="94"/>
      <c r="DC256" s="88">
        <f t="shared" si="632"/>
        <v>43048.761333333387</v>
      </c>
      <c r="DD256" s="94"/>
      <c r="DE256" s="88">
        <f t="shared" si="634"/>
        <v>-33858.112546999997</v>
      </c>
      <c r="DF256" s="100" t="e">
        <f ca="1">BE256+(SUM(CS254:CS265)/12)</f>
        <v>#N/A</v>
      </c>
      <c r="DG256" s="351"/>
      <c r="DH256" s="8">
        <f t="shared" si="675"/>
        <v>0</v>
      </c>
      <c r="DI256" s="123">
        <f t="shared" si="648"/>
        <v>5300</v>
      </c>
      <c r="DJ256" s="2">
        <f t="shared" si="676"/>
        <v>0</v>
      </c>
      <c r="DK256" s="127">
        <f>DK265/12*3</f>
        <v>1950</v>
      </c>
      <c r="DL256" s="2">
        <f t="shared" si="618"/>
        <v>650</v>
      </c>
      <c r="DM256" s="130">
        <f t="shared" si="677"/>
        <v>0</v>
      </c>
      <c r="DN256" s="3">
        <f>DN265/12*3</f>
        <v>750</v>
      </c>
      <c r="DO256" s="130">
        <f t="shared" si="620"/>
        <v>250</v>
      </c>
      <c r="DP256" s="4">
        <f t="shared" si="678"/>
        <v>0</v>
      </c>
      <c r="DQ256" s="116">
        <f t="shared" si="679"/>
        <v>2600</v>
      </c>
      <c r="DR256" s="116">
        <f t="shared" ref="DR256:DR264" si="684">DR244</f>
        <v>850.00000000000011</v>
      </c>
    </row>
    <row r="257" spans="1:122" ht="14.25" customHeight="1" thickBot="1" x14ac:dyDescent="0.2">
      <c r="A257" s="416"/>
      <c r="B257" s="16">
        <v>51136</v>
      </c>
      <c r="C257" s="207">
        <f>'PV-Felder'!$I$2</f>
        <v>660.80000000000007</v>
      </c>
      <c r="D257" s="351"/>
      <c r="E257" s="61">
        <v>0</v>
      </c>
      <c r="F257" s="351"/>
      <c r="G257" s="56" t="e">
        <f t="shared" ca="1" si="509"/>
        <v>#N/A</v>
      </c>
      <c r="H257" s="351"/>
      <c r="I257" s="61">
        <v>0</v>
      </c>
      <c r="J257" s="351"/>
      <c r="K257" s="61">
        <v>0</v>
      </c>
      <c r="L257" s="351"/>
      <c r="M257" s="65">
        <f t="shared" si="536"/>
        <v>0</v>
      </c>
      <c r="N257" s="373"/>
      <c r="O257" s="288"/>
      <c r="P257" s="288"/>
      <c r="Q257" s="286">
        <f t="shared" si="510"/>
        <v>0</v>
      </c>
      <c r="R257" s="334"/>
      <c r="S257" s="61">
        <v>0</v>
      </c>
      <c r="T257" s="376"/>
      <c r="U257" s="61">
        <v>0</v>
      </c>
      <c r="V257" s="342"/>
      <c r="W257" s="61">
        <v>0</v>
      </c>
      <c r="X257" s="342"/>
      <c r="Y257" s="211" t="e">
        <f t="shared" si="612"/>
        <v>#N/A</v>
      </c>
      <c r="Z257" s="370"/>
      <c r="AA257" s="61">
        <v>0</v>
      </c>
      <c r="AB257" s="351"/>
      <c r="AC257" s="61">
        <v>0</v>
      </c>
      <c r="AD257" s="351"/>
      <c r="AE257" s="73" t="e">
        <f t="shared" si="642"/>
        <v>#N/A</v>
      </c>
      <c r="AF257" s="356"/>
      <c r="AG257" s="73" t="e">
        <f t="shared" si="643"/>
        <v>#N/A</v>
      </c>
      <c r="AH257" s="356"/>
      <c r="AI257" s="221">
        <f t="shared" si="680"/>
        <v>29.26</v>
      </c>
      <c r="AJ257" s="78">
        <f t="shared" ref="AJ257:AP257" si="685">AJ256</f>
        <v>0.26750000000000002</v>
      </c>
      <c r="AK257" s="79">
        <f t="shared" si="685"/>
        <v>9.9166666666666661</v>
      </c>
      <c r="AL257" s="80">
        <f t="shared" si="685"/>
        <v>187</v>
      </c>
      <c r="AM257" s="78">
        <f t="shared" si="685"/>
        <v>9.737942583732058E-2</v>
      </c>
      <c r="AN257" s="80">
        <f t="shared" si="685"/>
        <v>143</v>
      </c>
      <c r="AO257" s="78">
        <f t="shared" si="685"/>
        <v>0.21099999999999999</v>
      </c>
      <c r="AP257" s="88">
        <f t="shared" si="685"/>
        <v>12</v>
      </c>
      <c r="AQ257" s="64">
        <f t="shared" si="545"/>
        <v>21.5</v>
      </c>
      <c r="AR257" s="64">
        <f t="shared" si="546"/>
        <v>11.5</v>
      </c>
      <c r="AS257" s="88">
        <f t="shared" si="547"/>
        <v>1.1830000000000001</v>
      </c>
      <c r="AT257" s="91">
        <f t="shared" si="625"/>
        <v>0</v>
      </c>
      <c r="AU257" s="94"/>
      <c r="AV257" s="95"/>
      <c r="AW257" s="56">
        <f t="shared" si="512"/>
        <v>0</v>
      </c>
      <c r="AX257" s="351"/>
      <c r="AY257" s="100">
        <f t="shared" si="551"/>
        <v>9.9166666666666661</v>
      </c>
      <c r="AZ257" s="360"/>
      <c r="BA257" s="91">
        <f t="shared" si="674"/>
        <v>-2463.9458803333332</v>
      </c>
      <c r="BB257" s="5">
        <f t="shared" si="645"/>
        <v>-9.9166666666666661</v>
      </c>
      <c r="BC257" s="363"/>
      <c r="BD257" s="91" t="e">
        <f t="shared" ca="1" si="513"/>
        <v>#N/A</v>
      </c>
      <c r="BE257" s="91" t="e">
        <f t="shared" ca="1" si="514"/>
        <v>#N/A</v>
      </c>
      <c r="BF257" s="91">
        <f t="shared" si="515"/>
        <v>31.833333333333329</v>
      </c>
      <c r="BG257" s="91" t="e">
        <f t="shared" ca="1" si="516"/>
        <v>#N/A</v>
      </c>
      <c r="BH257" s="91" t="e">
        <f t="shared" ca="1" si="561"/>
        <v>#N/A</v>
      </c>
      <c r="BI257" s="10" t="e">
        <f t="shared" ca="1" si="539"/>
        <v>#N/A</v>
      </c>
      <c r="BJ257" s="104">
        <f>((M257+Q257)*AJ257+AK257)+((U257-W257+W257/('Vergleich Holz Strom'!$B$8-0.6))*AO257+AP257)</f>
        <v>21.916666666666664</v>
      </c>
      <c r="BK257" s="10" t="e">
        <f t="shared" ca="1" si="646"/>
        <v>#N/A</v>
      </c>
      <c r="BL257" s="379"/>
      <c r="BM257" s="104" t="e">
        <f t="shared" ca="1" si="527"/>
        <v>#N/A</v>
      </c>
      <c r="BN257" s="40" t="e">
        <f ca="1">IF(ISNUMBER(BK257),BN256+SUMIF(BK254:BK265,"&lt;&gt;#NV",BK254:BK265)/COUNTIF(BK254:BK265,"&lt;&gt;#NV"),#N/A)</f>
        <v>#N/A</v>
      </c>
      <c r="BO257" s="10" t="e">
        <f t="shared" ca="1" si="670"/>
        <v>#N/A</v>
      </c>
      <c r="BP257" s="104" t="e">
        <f t="shared" ca="1" si="647"/>
        <v>#N/A</v>
      </c>
      <c r="BQ257" s="104">
        <f t="shared" ca="1" si="667"/>
        <v>-58735.102360002857</v>
      </c>
      <c r="BR257" s="10">
        <f t="shared" si="517"/>
        <v>9.9166666666666661</v>
      </c>
      <c r="BS257" s="311"/>
      <c r="BT257" s="307"/>
      <c r="BU257" s="295">
        <f t="shared" si="518"/>
        <v>0</v>
      </c>
      <c r="BV257" s="323"/>
      <c r="BW257" s="299">
        <f t="shared" si="519"/>
        <v>0</v>
      </c>
      <c r="BX257" s="295">
        <f t="shared" si="520"/>
        <v>0</v>
      </c>
      <c r="BY257" s="382"/>
      <c r="BZ257" s="299">
        <f t="shared" si="528"/>
        <v>0</v>
      </c>
      <c r="CA257" s="295">
        <f t="shared" si="540"/>
        <v>0</v>
      </c>
      <c r="CB257" s="323"/>
      <c r="CC257" s="314">
        <f t="shared" si="682"/>
        <v>0</v>
      </c>
      <c r="CD257" s="326"/>
      <c r="CE257" s="299">
        <f t="shared" si="521"/>
        <v>0</v>
      </c>
      <c r="CF257" s="284">
        <f t="shared" si="683"/>
        <v>0</v>
      </c>
      <c r="CG257" s="323"/>
      <c r="CH257" s="302">
        <f t="shared" si="558"/>
        <v>0</v>
      </c>
      <c r="CI257" s="108">
        <f t="shared" si="522"/>
        <v>0</v>
      </c>
      <c r="CJ257" s="200">
        <f t="shared" si="523"/>
        <v>0</v>
      </c>
      <c r="CK257" s="197">
        <f t="shared" si="549"/>
        <v>0</v>
      </c>
      <c r="CL257" s="203">
        <f t="shared" si="524"/>
        <v>12</v>
      </c>
      <c r="CM257" s="4">
        <f>U257*Jahresdaten!$AD$2</f>
        <v>0</v>
      </c>
      <c r="CN257" s="112">
        <f>CJ257*Jahresdaten!$AD$2</f>
        <v>0</v>
      </c>
      <c r="CO257" s="366"/>
      <c r="CP257" s="116">
        <f>U257*Jahresdaten!$AD$3</f>
        <v>0</v>
      </c>
      <c r="CQ257" s="12">
        <f>CJ257*Jahresdaten!$AD$3</f>
        <v>0</v>
      </c>
      <c r="CR257" s="353"/>
      <c r="CS257" s="14"/>
      <c r="CT257" s="136"/>
      <c r="CU257" s="140" t="str">
        <f>IF(CT257=0,"",CT257*'Vergleich Holz Strom'!$B$2)</f>
        <v/>
      </c>
      <c r="CV257" s="353"/>
      <c r="CW257" s="366"/>
      <c r="CX257" s="345"/>
      <c r="CY257" s="345"/>
      <c r="CZ257" s="345"/>
      <c r="DA257" s="348"/>
      <c r="DB257" s="94"/>
      <c r="DC257" s="88">
        <f t="shared" si="632"/>
        <v>43225.844666666722</v>
      </c>
      <c r="DD257" s="94"/>
      <c r="DE257" s="88">
        <f t="shared" si="634"/>
        <v>-34001.112546999997</v>
      </c>
      <c r="DF257" s="100" t="e">
        <f ca="1">BE257+(SUM(CS254:CS265)/12)</f>
        <v>#N/A</v>
      </c>
      <c r="DG257" s="351"/>
      <c r="DH257" s="8">
        <f t="shared" si="675"/>
        <v>0</v>
      </c>
      <c r="DI257" s="123">
        <f t="shared" si="648"/>
        <v>7350</v>
      </c>
      <c r="DJ257" s="2">
        <f t="shared" si="676"/>
        <v>0</v>
      </c>
      <c r="DK257" s="127">
        <f>DK265/12*4</f>
        <v>2600</v>
      </c>
      <c r="DL257" s="2">
        <f t="shared" si="618"/>
        <v>650</v>
      </c>
      <c r="DM257" s="130">
        <f t="shared" si="677"/>
        <v>0</v>
      </c>
      <c r="DN257" s="3">
        <f>DN265/12*4</f>
        <v>1000</v>
      </c>
      <c r="DO257" s="130">
        <f t="shared" si="620"/>
        <v>250</v>
      </c>
      <c r="DP257" s="4">
        <f t="shared" si="678"/>
        <v>0</v>
      </c>
      <c r="DQ257" s="116">
        <f t="shared" si="679"/>
        <v>3750</v>
      </c>
      <c r="DR257" s="116">
        <f t="shared" si="684"/>
        <v>1150</v>
      </c>
    </row>
    <row r="258" spans="1:122" ht="14.25" customHeight="1" thickBot="1" x14ac:dyDescent="0.2">
      <c r="A258" s="416"/>
      <c r="B258" s="16">
        <v>51167</v>
      </c>
      <c r="C258" s="207">
        <f>'PV-Felder'!$I$3</f>
        <v>922.2</v>
      </c>
      <c r="D258" s="351"/>
      <c r="E258" s="61">
        <v>0</v>
      </c>
      <c r="F258" s="351"/>
      <c r="G258" s="56" t="e">
        <f t="shared" ref="G258:G301" ca="1" si="686">IF(TODAY()&lt;B259,IF(E258&gt;0,E258-C258,#N/A),E258-C258)</f>
        <v>#N/A</v>
      </c>
      <c r="H258" s="351"/>
      <c r="I258" s="61">
        <v>0</v>
      </c>
      <c r="J258" s="351"/>
      <c r="K258" s="61">
        <v>0</v>
      </c>
      <c r="L258" s="351"/>
      <c r="M258" s="65">
        <f t="shared" si="536"/>
        <v>0</v>
      </c>
      <c r="N258" s="373"/>
      <c r="O258" s="288"/>
      <c r="P258" s="288"/>
      <c r="Q258" s="286">
        <f t="shared" ref="Q258:Q301" si="687">O258-P258</f>
        <v>0</v>
      </c>
      <c r="R258" s="334"/>
      <c r="S258" s="61">
        <v>0</v>
      </c>
      <c r="T258" s="376"/>
      <c r="U258" s="61">
        <v>0</v>
      </c>
      <c r="V258" s="342"/>
      <c r="W258" s="61">
        <v>0</v>
      </c>
      <c r="X258" s="342"/>
      <c r="Y258" s="211" t="e">
        <f t="shared" si="612"/>
        <v>#N/A</v>
      </c>
      <c r="Z258" s="370"/>
      <c r="AA258" s="61">
        <v>0</v>
      </c>
      <c r="AB258" s="351"/>
      <c r="AC258" s="61">
        <v>0</v>
      </c>
      <c r="AD258" s="351"/>
      <c r="AE258" s="73" t="e">
        <f t="shared" si="642"/>
        <v>#N/A</v>
      </c>
      <c r="AF258" s="356"/>
      <c r="AG258" s="73" t="e">
        <f t="shared" si="643"/>
        <v>#N/A</v>
      </c>
      <c r="AH258" s="356"/>
      <c r="AI258" s="221">
        <f t="shared" si="680"/>
        <v>29.26</v>
      </c>
      <c r="AJ258" s="78">
        <f t="shared" ref="AJ258:AP258" si="688">AJ257</f>
        <v>0.26750000000000002</v>
      </c>
      <c r="AK258" s="79">
        <f t="shared" si="688"/>
        <v>9.9166666666666661</v>
      </c>
      <c r="AL258" s="80">
        <f t="shared" si="688"/>
        <v>187</v>
      </c>
      <c r="AM258" s="78">
        <f t="shared" si="688"/>
        <v>9.737942583732058E-2</v>
      </c>
      <c r="AN258" s="80">
        <f t="shared" si="688"/>
        <v>143</v>
      </c>
      <c r="AO258" s="78">
        <f t="shared" si="688"/>
        <v>0.21099999999999999</v>
      </c>
      <c r="AP258" s="88">
        <f t="shared" si="688"/>
        <v>12</v>
      </c>
      <c r="AQ258" s="64">
        <f t="shared" si="545"/>
        <v>21.5</v>
      </c>
      <c r="AR258" s="64">
        <f t="shared" si="546"/>
        <v>11.5</v>
      </c>
      <c r="AS258" s="88">
        <f t="shared" si="547"/>
        <v>1.1830000000000001</v>
      </c>
      <c r="AT258" s="91">
        <f t="shared" si="625"/>
        <v>0</v>
      </c>
      <c r="AU258" s="94"/>
      <c r="AV258" s="95"/>
      <c r="AW258" s="56">
        <f t="shared" ref="AW258:AW301" si="689">AC258-AA258</f>
        <v>0</v>
      </c>
      <c r="AX258" s="351"/>
      <c r="AY258" s="100">
        <f t="shared" si="551"/>
        <v>9.9166666666666661</v>
      </c>
      <c r="AZ258" s="360"/>
      <c r="BA258" s="91">
        <f t="shared" si="674"/>
        <v>-2473.8625469999997</v>
      </c>
      <c r="BB258" s="5">
        <f t="shared" si="645"/>
        <v>-9.9166666666666661</v>
      </c>
      <c r="BC258" s="363"/>
      <c r="BD258" s="91" t="e">
        <f t="shared" ref="BD258:BD301" ca="1" si="690">IF(TODAY()&lt;B259,IF(E258&gt;0,AY258+AU258,#N/A),AY258+AU258)</f>
        <v>#N/A</v>
      </c>
      <c r="BE258" s="91" t="e">
        <f t="shared" ref="BE258:BE301" ca="1" si="691">IF(TODAY()&lt;B259,IF(E258&gt;0,BD258+AT258,#N/A),BD258+AT258)</f>
        <v>#N/A</v>
      </c>
      <c r="BF258" s="91">
        <f t="shared" ref="BF258:BF301" si="692">(M258*AJ258+AK258)+(U258*AO258+AP258)+(S258*AJ258+AK258)</f>
        <v>31.833333333333329</v>
      </c>
      <c r="BG258" s="91" t="e">
        <f t="shared" ref="BG258:BG301" ca="1" si="693">BF258-BD258</f>
        <v>#N/A</v>
      </c>
      <c r="BH258" s="91" t="e">
        <f t="shared" ca="1" si="561"/>
        <v>#N/A</v>
      </c>
      <c r="BI258" s="10" t="e">
        <f t="shared" ca="1" si="539"/>
        <v>#N/A</v>
      </c>
      <c r="BJ258" s="104">
        <f>((M258+Q258)*AJ258+AK258)+((U258-W258+W258/('Vergleich Holz Strom'!$B$8-0.6))*AO258+AP258)</f>
        <v>21.916666666666664</v>
      </c>
      <c r="BK258" s="10" t="e">
        <f t="shared" ca="1" si="646"/>
        <v>#N/A</v>
      </c>
      <c r="BL258" s="379"/>
      <c r="BM258" s="104" t="e">
        <f t="shared" ca="1" si="527"/>
        <v>#N/A</v>
      </c>
      <c r="BN258" s="40" t="e">
        <f ca="1">IF(ISNUMBER(BK258),BN257+SUMIF(BK254:BK265,"&lt;&gt;#NV",BK254:BK265)/COUNTIF(BK254:BK265,"&lt;&gt;#NV"),#N/A)</f>
        <v>#N/A</v>
      </c>
      <c r="BO258" s="10" t="e">
        <f t="shared" ca="1" si="670"/>
        <v>#N/A</v>
      </c>
      <c r="BP258" s="104" t="e">
        <f t="shared" ca="1" si="647"/>
        <v>#N/A</v>
      </c>
      <c r="BQ258" s="104">
        <f t="shared" ca="1" si="667"/>
        <v>-58715.902360002859</v>
      </c>
      <c r="BR258" s="10">
        <f t="shared" ref="BR258:BR301" si="694">M258*AJ258+AK258</f>
        <v>9.9166666666666661</v>
      </c>
      <c r="BS258" s="311"/>
      <c r="BT258" s="307"/>
      <c r="BU258" s="295">
        <f t="shared" ref="BU258:BU301" si="695">Q258*AM258</f>
        <v>0</v>
      </c>
      <c r="BV258" s="323"/>
      <c r="BW258" s="299">
        <f t="shared" ref="BW258:BW301" si="696">Q258*AJ258</f>
        <v>0</v>
      </c>
      <c r="BX258" s="295">
        <f t="shared" ref="BX258:BX301" si="697">BW258-BU258</f>
        <v>0</v>
      </c>
      <c r="BY258" s="382"/>
      <c r="BZ258" s="299">
        <f t="shared" si="528"/>
        <v>0</v>
      </c>
      <c r="CA258" s="295">
        <f t="shared" si="540"/>
        <v>0</v>
      </c>
      <c r="CB258" s="323"/>
      <c r="CC258" s="314">
        <f t="shared" si="682"/>
        <v>0</v>
      </c>
      <c r="CD258" s="326"/>
      <c r="CE258" s="299">
        <f t="shared" ref="CE258:CE301" si="698">CC258/AR258*AS258</f>
        <v>0</v>
      </c>
      <c r="CF258" s="284">
        <f t="shared" si="683"/>
        <v>0</v>
      </c>
      <c r="CG258" s="323"/>
      <c r="CH258" s="302">
        <f t="shared" si="558"/>
        <v>0</v>
      </c>
      <c r="CI258" s="108">
        <f t="shared" ref="CI258:CI301" si="699">(S258*AJ258)</f>
        <v>0</v>
      </c>
      <c r="CJ258" s="200">
        <f t="shared" ref="CJ258:CJ301" si="700">((U258-W258)*AJ258)+(W258*AM258)</f>
        <v>0</v>
      </c>
      <c r="CK258" s="197">
        <f t="shared" si="549"/>
        <v>0</v>
      </c>
      <c r="CL258" s="203">
        <f t="shared" ref="CL258:CL301" si="701">U258*AO258+AP258</f>
        <v>12</v>
      </c>
      <c r="CM258" s="4">
        <f>U258*Jahresdaten!$AD$2</f>
        <v>0</v>
      </c>
      <c r="CN258" s="112">
        <f>CJ258*Jahresdaten!$AD$2</f>
        <v>0</v>
      </c>
      <c r="CO258" s="366"/>
      <c r="CP258" s="116">
        <f>U258*Jahresdaten!$AD$3</f>
        <v>0</v>
      </c>
      <c r="CQ258" s="12">
        <f>CJ258*Jahresdaten!$AD$3</f>
        <v>0</v>
      </c>
      <c r="CR258" s="353"/>
      <c r="CS258" s="14"/>
      <c r="CT258" s="136"/>
      <c r="CU258" s="140" t="str">
        <f>IF(CT258=0,"",CT258*'Vergleich Holz Strom'!$B$2)</f>
        <v/>
      </c>
      <c r="CV258" s="353"/>
      <c r="CW258" s="366"/>
      <c r="CX258" s="345"/>
      <c r="CY258" s="345"/>
      <c r="CZ258" s="345"/>
      <c r="DA258" s="348"/>
      <c r="DB258" s="94"/>
      <c r="DC258" s="88">
        <f t="shared" si="632"/>
        <v>43402.928000000058</v>
      </c>
      <c r="DD258" s="94"/>
      <c r="DE258" s="88">
        <f t="shared" si="634"/>
        <v>-34144.112546999997</v>
      </c>
      <c r="DF258" s="100" t="e">
        <f ca="1">BE258+(SUM(CS254:CS265)/12)</f>
        <v>#N/A</v>
      </c>
      <c r="DG258" s="351"/>
      <c r="DH258" s="8">
        <f t="shared" si="675"/>
        <v>0</v>
      </c>
      <c r="DI258" s="123">
        <f t="shared" si="648"/>
        <v>9600</v>
      </c>
      <c r="DJ258" s="2">
        <f t="shared" si="676"/>
        <v>0</v>
      </c>
      <c r="DK258" s="127">
        <f>DK265/12*5</f>
        <v>3250</v>
      </c>
      <c r="DL258" s="2">
        <f t="shared" si="618"/>
        <v>650</v>
      </c>
      <c r="DM258" s="130">
        <f t="shared" si="677"/>
        <v>0</v>
      </c>
      <c r="DN258" s="3">
        <f>DN265/12*5</f>
        <v>1250</v>
      </c>
      <c r="DO258" s="130">
        <f t="shared" si="620"/>
        <v>250</v>
      </c>
      <c r="DP258" s="4">
        <f t="shared" si="678"/>
        <v>0</v>
      </c>
      <c r="DQ258" s="116">
        <f t="shared" si="679"/>
        <v>5100</v>
      </c>
      <c r="DR258" s="116">
        <f t="shared" si="684"/>
        <v>1350</v>
      </c>
    </row>
    <row r="259" spans="1:122" ht="14.25" customHeight="1" thickBot="1" x14ac:dyDescent="0.2">
      <c r="A259" s="416"/>
      <c r="B259" s="16">
        <v>51196</v>
      </c>
      <c r="C259" s="207">
        <f>'PV-Felder'!$I$4</f>
        <v>1860</v>
      </c>
      <c r="D259" s="351"/>
      <c r="E259" s="61">
        <v>0</v>
      </c>
      <c r="F259" s="351"/>
      <c r="G259" s="56" t="e">
        <f t="shared" ca="1" si="686"/>
        <v>#N/A</v>
      </c>
      <c r="H259" s="351"/>
      <c r="I259" s="61">
        <v>0</v>
      </c>
      <c r="J259" s="351"/>
      <c r="K259" s="61">
        <v>0</v>
      </c>
      <c r="L259" s="351"/>
      <c r="M259" s="65">
        <f t="shared" si="536"/>
        <v>0</v>
      </c>
      <c r="N259" s="373"/>
      <c r="O259" s="288"/>
      <c r="P259" s="288"/>
      <c r="Q259" s="286">
        <f t="shared" si="687"/>
        <v>0</v>
      </c>
      <c r="R259" s="334"/>
      <c r="S259" s="61">
        <v>0</v>
      </c>
      <c r="T259" s="376"/>
      <c r="U259" s="61">
        <v>0</v>
      </c>
      <c r="V259" s="342"/>
      <c r="W259" s="61">
        <v>0</v>
      </c>
      <c r="X259" s="342"/>
      <c r="Y259" s="211" t="e">
        <f t="shared" si="612"/>
        <v>#N/A</v>
      </c>
      <c r="Z259" s="370"/>
      <c r="AA259" s="61">
        <v>0</v>
      </c>
      <c r="AB259" s="351"/>
      <c r="AC259" s="61">
        <v>0</v>
      </c>
      <c r="AD259" s="351"/>
      <c r="AE259" s="73" t="e">
        <f t="shared" si="642"/>
        <v>#N/A</v>
      </c>
      <c r="AF259" s="356"/>
      <c r="AG259" s="73" t="e">
        <f t="shared" si="643"/>
        <v>#N/A</v>
      </c>
      <c r="AH259" s="356"/>
      <c r="AI259" s="221">
        <f t="shared" si="680"/>
        <v>29.26</v>
      </c>
      <c r="AJ259" s="78">
        <f t="shared" ref="AJ259:AP259" si="702">AJ258</f>
        <v>0.26750000000000002</v>
      </c>
      <c r="AK259" s="79">
        <f t="shared" si="702"/>
        <v>9.9166666666666661</v>
      </c>
      <c r="AL259" s="80">
        <f t="shared" si="702"/>
        <v>187</v>
      </c>
      <c r="AM259" s="78">
        <f t="shared" si="702"/>
        <v>9.737942583732058E-2</v>
      </c>
      <c r="AN259" s="80">
        <f t="shared" si="702"/>
        <v>143</v>
      </c>
      <c r="AO259" s="78">
        <f t="shared" si="702"/>
        <v>0.21099999999999999</v>
      </c>
      <c r="AP259" s="88">
        <f t="shared" si="702"/>
        <v>12</v>
      </c>
      <c r="AQ259" s="64">
        <f t="shared" si="545"/>
        <v>21.5</v>
      </c>
      <c r="AR259" s="64">
        <f t="shared" si="546"/>
        <v>11.5</v>
      </c>
      <c r="AS259" s="88">
        <f t="shared" si="547"/>
        <v>1.1830000000000001</v>
      </c>
      <c r="AT259" s="91">
        <f t="shared" si="625"/>
        <v>0</v>
      </c>
      <c r="AU259" s="94"/>
      <c r="AV259" s="95"/>
      <c r="AW259" s="56">
        <f t="shared" si="689"/>
        <v>0</v>
      </c>
      <c r="AX259" s="351"/>
      <c r="AY259" s="100">
        <f t="shared" si="551"/>
        <v>9.9166666666666661</v>
      </c>
      <c r="AZ259" s="360"/>
      <c r="BA259" s="91">
        <f t="shared" si="674"/>
        <v>-2483.7792136666662</v>
      </c>
      <c r="BB259" s="5">
        <f t="shared" si="645"/>
        <v>-9.9166666666666661</v>
      </c>
      <c r="BC259" s="363"/>
      <c r="BD259" s="91" t="e">
        <f t="shared" ca="1" si="690"/>
        <v>#N/A</v>
      </c>
      <c r="BE259" s="91" t="e">
        <f t="shared" ca="1" si="691"/>
        <v>#N/A</v>
      </c>
      <c r="BF259" s="91">
        <f t="shared" si="692"/>
        <v>31.833333333333329</v>
      </c>
      <c r="BG259" s="91" t="e">
        <f t="shared" ca="1" si="693"/>
        <v>#N/A</v>
      </c>
      <c r="BH259" s="91" t="e">
        <f t="shared" ca="1" si="561"/>
        <v>#N/A</v>
      </c>
      <c r="BI259" s="10" t="e">
        <f t="shared" ca="1" si="539"/>
        <v>#N/A</v>
      </c>
      <c r="BJ259" s="104">
        <f>((M259+Q259)*AJ259+AK259)+((U259-W259+W259/('Vergleich Holz Strom'!$B$8-0.6))*AO259+AP259)</f>
        <v>21.916666666666664</v>
      </c>
      <c r="BK259" s="10" t="e">
        <f t="shared" ca="1" si="646"/>
        <v>#N/A</v>
      </c>
      <c r="BL259" s="379"/>
      <c r="BM259" s="104" t="e">
        <f t="shared" ref="BM259:BM301" ca="1" si="703">BM258+BK259</f>
        <v>#N/A</v>
      </c>
      <c r="BN259" s="40" t="e">
        <f ca="1">IF(ISNUMBER(BK259),BN258+SUMIF(BK254:BK265,"&lt;&gt;#NV",BK254:BK265)/COUNTIF(BK254:BK265,"&lt;&gt;#NV"),#N/A)</f>
        <v>#N/A</v>
      </c>
      <c r="BO259" s="10" t="e">
        <f t="shared" ca="1" si="670"/>
        <v>#N/A</v>
      </c>
      <c r="BP259" s="104" t="e">
        <f t="shared" ca="1" si="647"/>
        <v>#N/A</v>
      </c>
      <c r="BQ259" s="104">
        <f t="shared" ca="1" si="667"/>
        <v>-58696.702360002862</v>
      </c>
      <c r="BR259" s="10">
        <f t="shared" si="694"/>
        <v>9.9166666666666661</v>
      </c>
      <c r="BS259" s="311"/>
      <c r="BT259" s="307"/>
      <c r="BU259" s="295">
        <f t="shared" si="695"/>
        <v>0</v>
      </c>
      <c r="BV259" s="323"/>
      <c r="BW259" s="299">
        <f t="shared" si="696"/>
        <v>0</v>
      </c>
      <c r="BX259" s="295">
        <f t="shared" si="697"/>
        <v>0</v>
      </c>
      <c r="BY259" s="382"/>
      <c r="BZ259" s="299">
        <f t="shared" ref="BZ259:BZ301" si="704">BZ258+BX259</f>
        <v>0</v>
      </c>
      <c r="CA259" s="295">
        <f t="shared" si="540"/>
        <v>0</v>
      </c>
      <c r="CB259" s="323"/>
      <c r="CC259" s="314">
        <f t="shared" si="682"/>
        <v>0</v>
      </c>
      <c r="CD259" s="326"/>
      <c r="CE259" s="299">
        <f t="shared" si="698"/>
        <v>0</v>
      </c>
      <c r="CF259" s="284">
        <f t="shared" si="683"/>
        <v>0</v>
      </c>
      <c r="CG259" s="323"/>
      <c r="CH259" s="302">
        <f t="shared" si="558"/>
        <v>0</v>
      </c>
      <c r="CI259" s="108">
        <f t="shared" si="699"/>
        <v>0</v>
      </c>
      <c r="CJ259" s="200">
        <f t="shared" si="700"/>
        <v>0</v>
      </c>
      <c r="CK259" s="197">
        <f t="shared" si="549"/>
        <v>0</v>
      </c>
      <c r="CL259" s="203">
        <f t="shared" si="701"/>
        <v>12</v>
      </c>
      <c r="CM259" s="4">
        <f>U259*Jahresdaten!$AD$2</f>
        <v>0</v>
      </c>
      <c r="CN259" s="112">
        <f>CJ259*Jahresdaten!$AD$2</f>
        <v>0</v>
      </c>
      <c r="CO259" s="366"/>
      <c r="CP259" s="116">
        <f>U259*Jahresdaten!$AD$3</f>
        <v>0</v>
      </c>
      <c r="CQ259" s="12">
        <f>CJ259*Jahresdaten!$AD$3</f>
        <v>0</v>
      </c>
      <c r="CR259" s="353"/>
      <c r="CS259" s="14"/>
      <c r="CT259" s="136"/>
      <c r="CU259" s="140" t="str">
        <f>IF(CT259=0,"",CT259*'Vergleich Holz Strom'!$B$2)</f>
        <v/>
      </c>
      <c r="CV259" s="353"/>
      <c r="CW259" s="366"/>
      <c r="CX259" s="345"/>
      <c r="CY259" s="345"/>
      <c r="CZ259" s="345"/>
      <c r="DA259" s="348"/>
      <c r="DB259" s="94"/>
      <c r="DC259" s="88">
        <f t="shared" si="632"/>
        <v>43580.011333333394</v>
      </c>
      <c r="DD259" s="94"/>
      <c r="DE259" s="88">
        <f t="shared" si="634"/>
        <v>-34287.112546999997</v>
      </c>
      <c r="DF259" s="100" t="e">
        <f ca="1">BE259+(SUM(CS254:CS265)/12)</f>
        <v>#N/A</v>
      </c>
      <c r="DG259" s="351"/>
      <c r="DH259" s="8">
        <f t="shared" si="675"/>
        <v>0</v>
      </c>
      <c r="DI259" s="123">
        <f t="shared" si="648"/>
        <v>11850</v>
      </c>
      <c r="DJ259" s="2">
        <f t="shared" si="676"/>
        <v>0</v>
      </c>
      <c r="DK259" s="127">
        <f>DK265/12*6</f>
        <v>3900</v>
      </c>
      <c r="DL259" s="2">
        <f t="shared" si="618"/>
        <v>650</v>
      </c>
      <c r="DM259" s="130">
        <f t="shared" si="677"/>
        <v>0</v>
      </c>
      <c r="DN259" s="3">
        <f>DN265/12*6</f>
        <v>1500</v>
      </c>
      <c r="DO259" s="130">
        <f t="shared" si="620"/>
        <v>250</v>
      </c>
      <c r="DP259" s="4">
        <f t="shared" si="678"/>
        <v>0</v>
      </c>
      <c r="DQ259" s="116">
        <f t="shared" si="679"/>
        <v>6450</v>
      </c>
      <c r="DR259" s="116">
        <f t="shared" si="684"/>
        <v>1350</v>
      </c>
    </row>
    <row r="260" spans="1:122" ht="15" customHeight="1" thickBot="1" x14ac:dyDescent="0.2">
      <c r="A260" s="416"/>
      <c r="B260" s="16">
        <v>51227</v>
      </c>
      <c r="C260" s="207">
        <f>'PV-Felder'!$I$5</f>
        <v>2887.3</v>
      </c>
      <c r="D260" s="351"/>
      <c r="E260" s="61">
        <v>0</v>
      </c>
      <c r="F260" s="351"/>
      <c r="G260" s="56" t="e">
        <f t="shared" ca="1" si="686"/>
        <v>#N/A</v>
      </c>
      <c r="H260" s="351"/>
      <c r="I260" s="61">
        <v>0</v>
      </c>
      <c r="J260" s="351"/>
      <c r="K260" s="61">
        <v>0</v>
      </c>
      <c r="L260" s="351"/>
      <c r="M260" s="65">
        <f t="shared" ref="M260:M301" si="705">(E260+AA260)-((O260-P260)+S260+U260+AC260)</f>
        <v>0</v>
      </c>
      <c r="N260" s="373"/>
      <c r="O260" s="288"/>
      <c r="P260" s="288"/>
      <c r="Q260" s="286">
        <f t="shared" si="687"/>
        <v>0</v>
      </c>
      <c r="R260" s="334"/>
      <c r="S260" s="61">
        <v>0</v>
      </c>
      <c r="T260" s="376"/>
      <c r="U260" s="61">
        <v>0</v>
      </c>
      <c r="V260" s="342"/>
      <c r="W260" s="61">
        <v>0</v>
      </c>
      <c r="X260" s="342"/>
      <c r="Y260" s="211" t="e">
        <f t="shared" si="612"/>
        <v>#N/A</v>
      </c>
      <c r="Z260" s="370"/>
      <c r="AA260" s="61">
        <v>0</v>
      </c>
      <c r="AB260" s="351"/>
      <c r="AC260" s="61">
        <v>0</v>
      </c>
      <c r="AD260" s="351"/>
      <c r="AE260" s="73" t="e">
        <f t="shared" si="642"/>
        <v>#N/A</v>
      </c>
      <c r="AF260" s="356"/>
      <c r="AG260" s="73" t="e">
        <f t="shared" si="643"/>
        <v>#N/A</v>
      </c>
      <c r="AH260" s="356"/>
      <c r="AI260" s="221">
        <f t="shared" si="680"/>
        <v>29.26</v>
      </c>
      <c r="AJ260" s="78">
        <f t="shared" ref="AJ260:AP260" si="706">AJ259</f>
        <v>0.26750000000000002</v>
      </c>
      <c r="AK260" s="79">
        <f t="shared" si="706"/>
        <v>9.9166666666666661</v>
      </c>
      <c r="AL260" s="80">
        <f t="shared" si="706"/>
        <v>187</v>
      </c>
      <c r="AM260" s="78">
        <f t="shared" si="706"/>
        <v>9.737942583732058E-2</v>
      </c>
      <c r="AN260" s="80">
        <f t="shared" si="706"/>
        <v>143</v>
      </c>
      <c r="AO260" s="78">
        <f t="shared" si="706"/>
        <v>0.21099999999999999</v>
      </c>
      <c r="AP260" s="88">
        <f t="shared" si="706"/>
        <v>12</v>
      </c>
      <c r="AQ260" s="64">
        <f t="shared" si="545"/>
        <v>21.5</v>
      </c>
      <c r="AR260" s="64">
        <f t="shared" si="546"/>
        <v>11.5</v>
      </c>
      <c r="AS260" s="88">
        <f t="shared" si="547"/>
        <v>1.1830000000000001</v>
      </c>
      <c r="AT260" s="91">
        <f t="shared" si="625"/>
        <v>0</v>
      </c>
      <c r="AU260" s="94"/>
      <c r="AV260" s="95"/>
      <c r="AW260" s="56">
        <f t="shared" si="689"/>
        <v>0</v>
      </c>
      <c r="AX260" s="351"/>
      <c r="AY260" s="100">
        <f t="shared" si="551"/>
        <v>9.9166666666666661</v>
      </c>
      <c r="AZ260" s="360"/>
      <c r="BA260" s="91">
        <f t="shared" si="674"/>
        <v>-2493.6958803333328</v>
      </c>
      <c r="BB260" s="5">
        <f t="shared" si="645"/>
        <v>-9.9166666666666661</v>
      </c>
      <c r="BC260" s="363"/>
      <c r="BD260" s="91" t="e">
        <f t="shared" ca="1" si="690"/>
        <v>#N/A</v>
      </c>
      <c r="BE260" s="91" t="e">
        <f t="shared" ca="1" si="691"/>
        <v>#N/A</v>
      </c>
      <c r="BF260" s="91">
        <f t="shared" si="692"/>
        <v>31.833333333333329</v>
      </c>
      <c r="BG260" s="91" t="e">
        <f t="shared" ca="1" si="693"/>
        <v>#N/A</v>
      </c>
      <c r="BH260" s="91" t="e">
        <f t="shared" ca="1" si="561"/>
        <v>#N/A</v>
      </c>
      <c r="BI260" s="10" t="e">
        <f t="shared" ref="BI260:BI301" ca="1" si="707">BE260-(S260*AJ260)</f>
        <v>#N/A</v>
      </c>
      <c r="BJ260" s="104">
        <f>((M260+Q260)*AJ260+AK260)+((U260-W260+W260/('Vergleich Holz Strom'!$B$8-0.6))*AO260+AP260)</f>
        <v>21.916666666666664</v>
      </c>
      <c r="BK260" s="10" t="e">
        <f t="shared" ca="1" si="646"/>
        <v>#N/A</v>
      </c>
      <c r="BL260" s="379"/>
      <c r="BM260" s="104" t="e">
        <f t="shared" ca="1" si="703"/>
        <v>#N/A</v>
      </c>
      <c r="BN260" s="40" t="e">
        <f ca="1">IF(ISNUMBER(BK260),BN259+SUMIF(BK254:BK265,"&lt;&gt;#NV",BK254:BK265)/COUNTIF(BK254:BK265,"&lt;&gt;#NV"),#N/A)</f>
        <v>#N/A</v>
      </c>
      <c r="BO260" s="10" t="e">
        <f t="shared" ca="1" si="670"/>
        <v>#N/A</v>
      </c>
      <c r="BP260" s="104" t="e">
        <f t="shared" ca="1" si="647"/>
        <v>#N/A</v>
      </c>
      <c r="BQ260" s="104">
        <f t="shared" ca="1" si="667"/>
        <v>-58677.502360002836</v>
      </c>
      <c r="BR260" s="10">
        <f t="shared" si="694"/>
        <v>9.9166666666666661</v>
      </c>
      <c r="BS260" s="311"/>
      <c r="BT260" s="307"/>
      <c r="BU260" s="295">
        <f t="shared" si="695"/>
        <v>0</v>
      </c>
      <c r="BV260" s="323"/>
      <c r="BW260" s="299">
        <f t="shared" si="696"/>
        <v>0</v>
      </c>
      <c r="BX260" s="295">
        <f t="shared" si="697"/>
        <v>0</v>
      </c>
      <c r="BY260" s="382"/>
      <c r="BZ260" s="299">
        <f t="shared" si="704"/>
        <v>0</v>
      </c>
      <c r="CA260" s="295">
        <f t="shared" ref="CA260:CA301" si="708">BT260+BU260</f>
        <v>0</v>
      </c>
      <c r="CB260" s="323"/>
      <c r="CC260" s="314">
        <f t="shared" si="682"/>
        <v>0</v>
      </c>
      <c r="CD260" s="326"/>
      <c r="CE260" s="299">
        <f t="shared" si="698"/>
        <v>0</v>
      </c>
      <c r="CF260" s="284">
        <f t="shared" si="683"/>
        <v>0</v>
      </c>
      <c r="CG260" s="323"/>
      <c r="CH260" s="302">
        <f t="shared" si="558"/>
        <v>0</v>
      </c>
      <c r="CI260" s="108">
        <f t="shared" si="699"/>
        <v>0</v>
      </c>
      <c r="CJ260" s="200">
        <f t="shared" si="700"/>
        <v>0</v>
      </c>
      <c r="CK260" s="197">
        <f t="shared" si="549"/>
        <v>0</v>
      </c>
      <c r="CL260" s="203">
        <f t="shared" si="701"/>
        <v>12</v>
      </c>
      <c r="CM260" s="4">
        <f>U260*Jahresdaten!$AD$2</f>
        <v>0</v>
      </c>
      <c r="CN260" s="112">
        <f>CJ260*Jahresdaten!$AD$2</f>
        <v>0</v>
      </c>
      <c r="CO260" s="366"/>
      <c r="CP260" s="116">
        <f>U260*Jahresdaten!$AD$3</f>
        <v>0</v>
      </c>
      <c r="CQ260" s="12">
        <f>CJ260*Jahresdaten!$AD$3</f>
        <v>0</v>
      </c>
      <c r="CR260" s="353"/>
      <c r="CS260" s="14"/>
      <c r="CT260" s="136"/>
      <c r="CU260" s="140" t="str">
        <f>IF(CT260=0,"",CT260*'Vergleich Holz Strom'!$B$2)</f>
        <v/>
      </c>
      <c r="CV260" s="121" t="s">
        <v>6</v>
      </c>
      <c r="CW260" s="366"/>
      <c r="CX260" s="345"/>
      <c r="CY260" s="345"/>
      <c r="CZ260" s="345"/>
      <c r="DA260" s="348"/>
      <c r="DB260" s="94"/>
      <c r="DC260" s="88">
        <f t="shared" si="632"/>
        <v>43757.09466666673</v>
      </c>
      <c r="DD260" s="94"/>
      <c r="DE260" s="88">
        <f t="shared" si="634"/>
        <v>-34430.112546999997</v>
      </c>
      <c r="DF260" s="100" t="e">
        <f ca="1">BE260+(SUM(CS254:CS265)/12)</f>
        <v>#N/A</v>
      </c>
      <c r="DG260" s="351"/>
      <c r="DH260" s="8">
        <f t="shared" si="675"/>
        <v>0</v>
      </c>
      <c r="DI260" s="123">
        <f t="shared" si="648"/>
        <v>14000</v>
      </c>
      <c r="DJ260" s="2">
        <f t="shared" si="676"/>
        <v>0</v>
      </c>
      <c r="DK260" s="127">
        <f>DK265/12*7</f>
        <v>4550</v>
      </c>
      <c r="DL260" s="2">
        <f t="shared" si="618"/>
        <v>650</v>
      </c>
      <c r="DM260" s="130">
        <f t="shared" si="677"/>
        <v>0</v>
      </c>
      <c r="DN260" s="3">
        <f>DN265/12*7</f>
        <v>1750</v>
      </c>
      <c r="DO260" s="130">
        <f t="shared" si="620"/>
        <v>250</v>
      </c>
      <c r="DP260" s="4">
        <f t="shared" si="678"/>
        <v>0</v>
      </c>
      <c r="DQ260" s="116">
        <f t="shared" si="679"/>
        <v>7700</v>
      </c>
      <c r="DR260" s="116">
        <f t="shared" si="684"/>
        <v>1250</v>
      </c>
    </row>
    <row r="261" spans="1:122" ht="14.25" customHeight="1" thickBot="1" x14ac:dyDescent="0.2">
      <c r="A261" s="416"/>
      <c r="B261" s="16">
        <v>51257</v>
      </c>
      <c r="C261" s="207">
        <f>'PV-Felder'!$I$6</f>
        <v>3391.3999999999996</v>
      </c>
      <c r="D261" s="351"/>
      <c r="E261" s="61">
        <v>0</v>
      </c>
      <c r="F261" s="351"/>
      <c r="G261" s="56" t="e">
        <f t="shared" ca="1" si="686"/>
        <v>#N/A</v>
      </c>
      <c r="H261" s="351"/>
      <c r="I261" s="61">
        <v>0</v>
      </c>
      <c r="J261" s="351"/>
      <c r="K261" s="61">
        <v>0</v>
      </c>
      <c r="L261" s="351"/>
      <c r="M261" s="65">
        <f t="shared" si="705"/>
        <v>0</v>
      </c>
      <c r="N261" s="373"/>
      <c r="O261" s="288"/>
      <c r="P261" s="288"/>
      <c r="Q261" s="286">
        <f t="shared" si="687"/>
        <v>0</v>
      </c>
      <c r="R261" s="334"/>
      <c r="S261" s="61">
        <v>0</v>
      </c>
      <c r="T261" s="376"/>
      <c r="U261" s="61">
        <v>0</v>
      </c>
      <c r="V261" s="342"/>
      <c r="W261" s="61">
        <v>0</v>
      </c>
      <c r="X261" s="342"/>
      <c r="Y261" s="211" t="e">
        <f t="shared" si="612"/>
        <v>#N/A</v>
      </c>
      <c r="Z261" s="370"/>
      <c r="AA261" s="61">
        <v>0</v>
      </c>
      <c r="AB261" s="351"/>
      <c r="AC261" s="61">
        <v>0</v>
      </c>
      <c r="AD261" s="351"/>
      <c r="AE261" s="73" t="e">
        <f t="shared" si="642"/>
        <v>#N/A</v>
      </c>
      <c r="AF261" s="356"/>
      <c r="AG261" s="73" t="e">
        <f t="shared" si="643"/>
        <v>#N/A</v>
      </c>
      <c r="AH261" s="356"/>
      <c r="AI261" s="221">
        <f t="shared" si="680"/>
        <v>29.26</v>
      </c>
      <c r="AJ261" s="78">
        <f t="shared" ref="AJ261:AP261" si="709">AJ260</f>
        <v>0.26750000000000002</v>
      </c>
      <c r="AK261" s="79">
        <f t="shared" si="709"/>
        <v>9.9166666666666661</v>
      </c>
      <c r="AL261" s="80">
        <f t="shared" si="709"/>
        <v>187</v>
      </c>
      <c r="AM261" s="78">
        <f t="shared" si="709"/>
        <v>9.737942583732058E-2</v>
      </c>
      <c r="AN261" s="80">
        <f t="shared" si="709"/>
        <v>143</v>
      </c>
      <c r="AO261" s="78">
        <f t="shared" si="709"/>
        <v>0.21099999999999999</v>
      </c>
      <c r="AP261" s="88">
        <f t="shared" si="709"/>
        <v>12</v>
      </c>
      <c r="AQ261" s="64">
        <f t="shared" ref="AQ261:AQ301" si="710">AQ260</f>
        <v>21.5</v>
      </c>
      <c r="AR261" s="64">
        <f t="shared" ref="AR261:AR301" si="711">AR260</f>
        <v>11.5</v>
      </c>
      <c r="AS261" s="88">
        <f t="shared" ref="AS261:AS301" si="712">AS260</f>
        <v>1.1830000000000001</v>
      </c>
      <c r="AT261" s="91">
        <f t="shared" si="625"/>
        <v>0</v>
      </c>
      <c r="AU261" s="94"/>
      <c r="AV261" s="95"/>
      <c r="AW261" s="56">
        <f t="shared" si="689"/>
        <v>0</v>
      </c>
      <c r="AX261" s="351"/>
      <c r="AY261" s="100">
        <f t="shared" si="551"/>
        <v>9.9166666666666661</v>
      </c>
      <c r="AZ261" s="360"/>
      <c r="BA261" s="91">
        <f t="shared" si="674"/>
        <v>-2503.6125469999993</v>
      </c>
      <c r="BB261" s="5">
        <f t="shared" si="645"/>
        <v>-9.9166666666666661</v>
      </c>
      <c r="BC261" s="363"/>
      <c r="BD261" s="91" t="e">
        <f t="shared" ca="1" si="690"/>
        <v>#N/A</v>
      </c>
      <c r="BE261" s="91" t="e">
        <f t="shared" ca="1" si="691"/>
        <v>#N/A</v>
      </c>
      <c r="BF261" s="91">
        <f t="shared" si="692"/>
        <v>31.833333333333329</v>
      </c>
      <c r="BG261" s="91" t="e">
        <f t="shared" ca="1" si="693"/>
        <v>#N/A</v>
      </c>
      <c r="BH261" s="91" t="e">
        <f t="shared" ca="1" si="561"/>
        <v>#N/A</v>
      </c>
      <c r="BI261" s="10" t="e">
        <f t="shared" ca="1" si="707"/>
        <v>#N/A</v>
      </c>
      <c r="BJ261" s="104">
        <f>((M261+Q261)*AJ261+AK261)+((U261-W261+W261/('Vergleich Holz Strom'!$B$8-0.6))*AO261+AP261)</f>
        <v>21.916666666666664</v>
      </c>
      <c r="BK261" s="10" t="e">
        <f t="shared" ca="1" si="646"/>
        <v>#N/A</v>
      </c>
      <c r="BL261" s="379"/>
      <c r="BM261" s="104" t="e">
        <f t="shared" ca="1" si="703"/>
        <v>#N/A</v>
      </c>
      <c r="BN261" s="40" t="e">
        <f ca="1">IF(ISNUMBER(BK261),BN260+SUMIF(BK254:BK265,"&lt;&gt;#NV",BK254:BK265)/COUNTIF(BK254:BK265,"&lt;&gt;#NV"),#N/A)</f>
        <v>#N/A</v>
      </c>
      <c r="BO261" s="10" t="e">
        <f t="shared" ca="1" si="670"/>
        <v>#N/A</v>
      </c>
      <c r="BP261" s="104" t="e">
        <f t="shared" ca="1" si="647"/>
        <v>#N/A</v>
      </c>
      <c r="BQ261" s="104">
        <f t="shared" ca="1" si="667"/>
        <v>-58658.302360002825</v>
      </c>
      <c r="BR261" s="10">
        <f t="shared" si="694"/>
        <v>9.9166666666666661</v>
      </c>
      <c r="BS261" s="311"/>
      <c r="BT261" s="307"/>
      <c r="BU261" s="295">
        <f t="shared" si="695"/>
        <v>0</v>
      </c>
      <c r="BV261" s="323"/>
      <c r="BW261" s="299">
        <f t="shared" si="696"/>
        <v>0</v>
      </c>
      <c r="BX261" s="295">
        <f t="shared" si="697"/>
        <v>0</v>
      </c>
      <c r="BY261" s="382"/>
      <c r="BZ261" s="299">
        <f t="shared" si="704"/>
        <v>0</v>
      </c>
      <c r="CA261" s="295">
        <f t="shared" si="708"/>
        <v>0</v>
      </c>
      <c r="CB261" s="323"/>
      <c r="CC261" s="314">
        <f t="shared" si="682"/>
        <v>0</v>
      </c>
      <c r="CD261" s="326"/>
      <c r="CE261" s="299">
        <f t="shared" si="698"/>
        <v>0</v>
      </c>
      <c r="CF261" s="284">
        <f t="shared" si="683"/>
        <v>0</v>
      </c>
      <c r="CG261" s="323"/>
      <c r="CH261" s="302">
        <f t="shared" si="558"/>
        <v>0</v>
      </c>
      <c r="CI261" s="108">
        <f t="shared" si="699"/>
        <v>0</v>
      </c>
      <c r="CJ261" s="200">
        <f t="shared" si="700"/>
        <v>0</v>
      </c>
      <c r="CK261" s="197">
        <f t="shared" si="549"/>
        <v>0</v>
      </c>
      <c r="CL261" s="203">
        <f t="shared" si="701"/>
        <v>12</v>
      </c>
      <c r="CM261" s="4">
        <f>U261*Jahresdaten!$AD$2</f>
        <v>0</v>
      </c>
      <c r="CN261" s="112">
        <f>CJ261*Jahresdaten!$AD$2</f>
        <v>0</v>
      </c>
      <c r="CO261" s="366"/>
      <c r="CP261" s="116">
        <f>U261*Jahresdaten!$AD$3</f>
        <v>0</v>
      </c>
      <c r="CQ261" s="12">
        <f>CJ261*Jahresdaten!$AD$3</f>
        <v>0</v>
      </c>
      <c r="CR261" s="353"/>
      <c r="CS261" s="14"/>
      <c r="CT261" s="136"/>
      <c r="CU261" s="140" t="str">
        <f>IF(CT261=0,"",CT261*'Vergleich Holz Strom'!$B$2)</f>
        <v/>
      </c>
      <c r="CV261" s="353">
        <f>SUM(CS254:CS265)</f>
        <v>1169</v>
      </c>
      <c r="CW261" s="366"/>
      <c r="CX261" s="345"/>
      <c r="CY261" s="345"/>
      <c r="CZ261" s="345"/>
      <c r="DA261" s="348"/>
      <c r="DB261" s="94"/>
      <c r="DC261" s="88">
        <f t="shared" si="632"/>
        <v>43934.178000000065</v>
      </c>
      <c r="DD261" s="94"/>
      <c r="DE261" s="88">
        <f t="shared" si="634"/>
        <v>-34573.112546999997</v>
      </c>
      <c r="DF261" s="100" t="e">
        <f ca="1">BE261+(SUM(CS254:CS265)/12)</f>
        <v>#N/A</v>
      </c>
      <c r="DG261" s="351"/>
      <c r="DH261" s="8">
        <f t="shared" si="675"/>
        <v>0</v>
      </c>
      <c r="DI261" s="123">
        <f t="shared" si="648"/>
        <v>16000</v>
      </c>
      <c r="DJ261" s="2">
        <f t="shared" si="676"/>
        <v>0</v>
      </c>
      <c r="DK261" s="127">
        <f>DK265/12*8</f>
        <v>5200</v>
      </c>
      <c r="DL261" s="2">
        <f t="shared" si="618"/>
        <v>650</v>
      </c>
      <c r="DM261" s="130">
        <f t="shared" si="677"/>
        <v>0</v>
      </c>
      <c r="DN261" s="3">
        <f>DN265/12*8</f>
        <v>2000</v>
      </c>
      <c r="DO261" s="130">
        <f t="shared" si="620"/>
        <v>250</v>
      </c>
      <c r="DP261" s="4">
        <f t="shared" si="678"/>
        <v>0</v>
      </c>
      <c r="DQ261" s="116">
        <f t="shared" si="679"/>
        <v>8800</v>
      </c>
      <c r="DR261" s="116">
        <f t="shared" si="684"/>
        <v>1100</v>
      </c>
    </row>
    <row r="262" spans="1:122" ht="14.25" customHeight="1" thickBot="1" x14ac:dyDescent="0.2">
      <c r="A262" s="416"/>
      <c r="B262" s="16">
        <v>51288</v>
      </c>
      <c r="C262" s="207">
        <f>'PV-Felder'!$I$7</f>
        <v>3595.6000000000004</v>
      </c>
      <c r="D262" s="351"/>
      <c r="E262" s="61">
        <v>0</v>
      </c>
      <c r="F262" s="351"/>
      <c r="G262" s="56" t="e">
        <f t="shared" ca="1" si="686"/>
        <v>#N/A</v>
      </c>
      <c r="H262" s="351"/>
      <c r="I262" s="61">
        <v>0</v>
      </c>
      <c r="J262" s="351"/>
      <c r="K262" s="61">
        <v>0</v>
      </c>
      <c r="L262" s="351"/>
      <c r="M262" s="65">
        <f t="shared" si="705"/>
        <v>0</v>
      </c>
      <c r="N262" s="373"/>
      <c r="O262" s="288"/>
      <c r="P262" s="288"/>
      <c r="Q262" s="286">
        <f t="shared" si="687"/>
        <v>0</v>
      </c>
      <c r="R262" s="334"/>
      <c r="S262" s="61">
        <v>0</v>
      </c>
      <c r="T262" s="376"/>
      <c r="U262" s="61">
        <v>0</v>
      </c>
      <c r="V262" s="342"/>
      <c r="W262" s="61">
        <v>0</v>
      </c>
      <c r="X262" s="342"/>
      <c r="Y262" s="211" t="e">
        <f t="shared" si="612"/>
        <v>#N/A</v>
      </c>
      <c r="Z262" s="370"/>
      <c r="AA262" s="61">
        <v>0</v>
      </c>
      <c r="AB262" s="351"/>
      <c r="AC262" s="61">
        <v>0</v>
      </c>
      <c r="AD262" s="351"/>
      <c r="AE262" s="73" t="e">
        <f t="shared" si="642"/>
        <v>#N/A</v>
      </c>
      <c r="AF262" s="356"/>
      <c r="AG262" s="73" t="e">
        <f t="shared" si="643"/>
        <v>#N/A</v>
      </c>
      <c r="AH262" s="356"/>
      <c r="AI262" s="221">
        <f t="shared" si="680"/>
        <v>29.26</v>
      </c>
      <c r="AJ262" s="78">
        <f t="shared" ref="AJ262:AP262" si="713">AJ261</f>
        <v>0.26750000000000002</v>
      </c>
      <c r="AK262" s="79">
        <f t="shared" si="713"/>
        <v>9.9166666666666661</v>
      </c>
      <c r="AL262" s="80">
        <f t="shared" si="713"/>
        <v>187</v>
      </c>
      <c r="AM262" s="78">
        <f t="shared" si="713"/>
        <v>9.737942583732058E-2</v>
      </c>
      <c r="AN262" s="80">
        <f t="shared" si="713"/>
        <v>143</v>
      </c>
      <c r="AO262" s="78">
        <f t="shared" si="713"/>
        <v>0.21099999999999999</v>
      </c>
      <c r="AP262" s="88">
        <f t="shared" si="713"/>
        <v>12</v>
      </c>
      <c r="AQ262" s="64">
        <f t="shared" si="710"/>
        <v>21.5</v>
      </c>
      <c r="AR262" s="64">
        <f t="shared" si="711"/>
        <v>11.5</v>
      </c>
      <c r="AS262" s="88">
        <f t="shared" si="712"/>
        <v>1.1830000000000001</v>
      </c>
      <c r="AT262" s="91">
        <f t="shared" si="625"/>
        <v>0</v>
      </c>
      <c r="AU262" s="94"/>
      <c r="AV262" s="95"/>
      <c r="AW262" s="56">
        <f t="shared" si="689"/>
        <v>0</v>
      </c>
      <c r="AX262" s="351"/>
      <c r="AY262" s="100">
        <f t="shared" si="551"/>
        <v>9.9166666666666661</v>
      </c>
      <c r="AZ262" s="360"/>
      <c r="BA262" s="91">
        <f t="shared" si="674"/>
        <v>-2513.5292136666658</v>
      </c>
      <c r="BB262" s="5">
        <f t="shared" si="645"/>
        <v>-9.9166666666666661</v>
      </c>
      <c r="BC262" s="363"/>
      <c r="BD262" s="91" t="e">
        <f t="shared" ca="1" si="690"/>
        <v>#N/A</v>
      </c>
      <c r="BE262" s="91" t="e">
        <f t="shared" ca="1" si="691"/>
        <v>#N/A</v>
      </c>
      <c r="BF262" s="91">
        <f t="shared" si="692"/>
        <v>31.833333333333329</v>
      </c>
      <c r="BG262" s="91" t="e">
        <f t="shared" ca="1" si="693"/>
        <v>#N/A</v>
      </c>
      <c r="BH262" s="91" t="e">
        <f t="shared" ca="1" si="561"/>
        <v>#N/A</v>
      </c>
      <c r="BI262" s="10" t="e">
        <f t="shared" ca="1" si="707"/>
        <v>#N/A</v>
      </c>
      <c r="BJ262" s="104">
        <f>((M262+Q262)*AJ262+AK262)+((U262-W262+W262/('Vergleich Holz Strom'!$B$8-0.6))*AO262+AP262)</f>
        <v>21.916666666666664</v>
      </c>
      <c r="BK262" s="10" t="e">
        <f t="shared" ca="1" si="646"/>
        <v>#N/A</v>
      </c>
      <c r="BL262" s="379"/>
      <c r="BM262" s="104" t="e">
        <f t="shared" ca="1" si="703"/>
        <v>#N/A</v>
      </c>
      <c r="BN262" s="40" t="e">
        <f ca="1">IF(ISNUMBER(BK262),BN261+SUMIF(BK254:BK265,"&lt;&gt;#NV",BK254:BK265)/COUNTIF(BK254:BK265,"&lt;&gt;#NV"),#N/A)</f>
        <v>#N/A</v>
      </c>
      <c r="BO262" s="10" t="e">
        <f t="shared" ca="1" si="670"/>
        <v>#N/A</v>
      </c>
      <c r="BP262" s="104" t="e">
        <f t="shared" ca="1" si="647"/>
        <v>#N/A</v>
      </c>
      <c r="BQ262" s="104">
        <f t="shared" ca="1" si="667"/>
        <v>-58642.102443395939</v>
      </c>
      <c r="BR262" s="10">
        <f t="shared" si="694"/>
        <v>9.9166666666666661</v>
      </c>
      <c r="BS262" s="311"/>
      <c r="BT262" s="307"/>
      <c r="BU262" s="295">
        <f t="shared" si="695"/>
        <v>0</v>
      </c>
      <c r="BV262" s="323"/>
      <c r="BW262" s="299">
        <f t="shared" si="696"/>
        <v>0</v>
      </c>
      <c r="BX262" s="295">
        <f t="shared" si="697"/>
        <v>0</v>
      </c>
      <c r="BY262" s="382"/>
      <c r="BZ262" s="299">
        <f t="shared" si="704"/>
        <v>0</v>
      </c>
      <c r="CA262" s="295">
        <f t="shared" si="708"/>
        <v>0</v>
      </c>
      <c r="CB262" s="323"/>
      <c r="CC262" s="314">
        <f t="shared" si="682"/>
        <v>0</v>
      </c>
      <c r="CD262" s="326"/>
      <c r="CE262" s="299">
        <f t="shared" si="698"/>
        <v>0</v>
      </c>
      <c r="CF262" s="284">
        <f t="shared" si="683"/>
        <v>0</v>
      </c>
      <c r="CG262" s="323"/>
      <c r="CH262" s="302">
        <f t="shared" si="558"/>
        <v>0</v>
      </c>
      <c r="CI262" s="108">
        <f t="shared" si="699"/>
        <v>0</v>
      </c>
      <c r="CJ262" s="200">
        <f t="shared" si="700"/>
        <v>0</v>
      </c>
      <c r="CK262" s="197">
        <f t="shared" ref="CK262:CK301" si="714">U262*AM262</f>
        <v>0</v>
      </c>
      <c r="CL262" s="203">
        <f t="shared" si="701"/>
        <v>12</v>
      </c>
      <c r="CM262" s="4">
        <f>U262*Jahresdaten!$AD$2</f>
        <v>0</v>
      </c>
      <c r="CN262" s="112">
        <f>CJ262*Jahresdaten!$AD$2</f>
        <v>0</v>
      </c>
      <c r="CO262" s="366"/>
      <c r="CP262" s="116">
        <f>U262*Jahresdaten!$AD$3</f>
        <v>0</v>
      </c>
      <c r="CQ262" s="12">
        <f>CJ262*Jahresdaten!$AD$3</f>
        <v>0</v>
      </c>
      <c r="CR262" s="353"/>
      <c r="CS262" s="14"/>
      <c r="CT262" s="136"/>
      <c r="CU262" s="140" t="str">
        <f>IF(CT262=0,"",CT262*'Vergleich Holz Strom'!$B$2)</f>
        <v/>
      </c>
      <c r="CV262" s="353"/>
      <c r="CW262" s="366"/>
      <c r="CX262" s="345"/>
      <c r="CY262" s="345"/>
      <c r="CZ262" s="345"/>
      <c r="DA262" s="348"/>
      <c r="DB262" s="94"/>
      <c r="DC262" s="88">
        <f t="shared" si="632"/>
        <v>44111.261333333401</v>
      </c>
      <c r="DD262" s="94"/>
      <c r="DE262" s="88">
        <f t="shared" si="634"/>
        <v>-34716.112546999997</v>
      </c>
      <c r="DF262" s="100" t="e">
        <f ca="1">BE262+(SUM(CS254:CS265)/12)</f>
        <v>#N/A</v>
      </c>
      <c r="DG262" s="351"/>
      <c r="DH262" s="8">
        <f t="shared" si="675"/>
        <v>0</v>
      </c>
      <c r="DI262" s="123">
        <f t="shared" si="648"/>
        <v>17200</v>
      </c>
      <c r="DJ262" s="2">
        <f t="shared" si="676"/>
        <v>0</v>
      </c>
      <c r="DK262" s="127">
        <f>DK265/12*9</f>
        <v>5850</v>
      </c>
      <c r="DL262" s="2">
        <f t="shared" si="618"/>
        <v>650</v>
      </c>
      <c r="DM262" s="130">
        <f t="shared" si="677"/>
        <v>0</v>
      </c>
      <c r="DN262" s="3">
        <f>DN265/12*9</f>
        <v>2250</v>
      </c>
      <c r="DO262" s="130">
        <f t="shared" si="620"/>
        <v>250</v>
      </c>
      <c r="DP262" s="4">
        <f t="shared" si="678"/>
        <v>0</v>
      </c>
      <c r="DQ262" s="116">
        <f t="shared" si="679"/>
        <v>9100</v>
      </c>
      <c r="DR262" s="116">
        <f t="shared" si="684"/>
        <v>300</v>
      </c>
    </row>
    <row r="263" spans="1:122" ht="14.25" customHeight="1" thickBot="1" x14ac:dyDescent="0.2">
      <c r="A263" s="416"/>
      <c r="B263" s="16">
        <v>51318</v>
      </c>
      <c r="C263" s="207">
        <f>'PV-Felder'!$I$8</f>
        <v>3593.8</v>
      </c>
      <c r="D263" s="351"/>
      <c r="E263" s="61">
        <v>0</v>
      </c>
      <c r="F263" s="351"/>
      <c r="G263" s="56" t="e">
        <f t="shared" ca="1" si="686"/>
        <v>#N/A</v>
      </c>
      <c r="H263" s="351"/>
      <c r="I263" s="61">
        <v>0</v>
      </c>
      <c r="J263" s="351"/>
      <c r="K263" s="61">
        <v>0</v>
      </c>
      <c r="L263" s="351"/>
      <c r="M263" s="65">
        <f t="shared" si="705"/>
        <v>0</v>
      </c>
      <c r="N263" s="373"/>
      <c r="O263" s="288"/>
      <c r="P263" s="288"/>
      <c r="Q263" s="286">
        <f t="shared" si="687"/>
        <v>0</v>
      </c>
      <c r="R263" s="334"/>
      <c r="S263" s="61">
        <v>0</v>
      </c>
      <c r="T263" s="376"/>
      <c r="U263" s="61">
        <v>0</v>
      </c>
      <c r="V263" s="342"/>
      <c r="W263" s="61">
        <v>0</v>
      </c>
      <c r="X263" s="342"/>
      <c r="Y263" s="211" t="e">
        <f t="shared" si="612"/>
        <v>#N/A</v>
      </c>
      <c r="Z263" s="370"/>
      <c r="AA263" s="61">
        <v>0</v>
      </c>
      <c r="AB263" s="351"/>
      <c r="AC263" s="61">
        <v>0</v>
      </c>
      <c r="AD263" s="351"/>
      <c r="AE263" s="73" t="e">
        <f t="shared" si="642"/>
        <v>#N/A</v>
      </c>
      <c r="AF263" s="356"/>
      <c r="AG263" s="73" t="e">
        <f t="shared" si="643"/>
        <v>#N/A</v>
      </c>
      <c r="AH263" s="356"/>
      <c r="AI263" s="221">
        <f t="shared" si="680"/>
        <v>29.26</v>
      </c>
      <c r="AJ263" s="78">
        <f t="shared" ref="AJ263:AP263" si="715">AJ262</f>
        <v>0.26750000000000002</v>
      </c>
      <c r="AK263" s="79">
        <f t="shared" si="715"/>
        <v>9.9166666666666661</v>
      </c>
      <c r="AL263" s="80">
        <f t="shared" si="715"/>
        <v>187</v>
      </c>
      <c r="AM263" s="78">
        <f t="shared" si="715"/>
        <v>9.737942583732058E-2</v>
      </c>
      <c r="AN263" s="80">
        <f t="shared" si="715"/>
        <v>143</v>
      </c>
      <c r="AO263" s="78">
        <f t="shared" si="715"/>
        <v>0.21099999999999999</v>
      </c>
      <c r="AP263" s="88">
        <f t="shared" si="715"/>
        <v>12</v>
      </c>
      <c r="AQ263" s="64">
        <f t="shared" si="710"/>
        <v>21.5</v>
      </c>
      <c r="AR263" s="64">
        <f t="shared" si="711"/>
        <v>11.5</v>
      </c>
      <c r="AS263" s="88">
        <f t="shared" si="712"/>
        <v>1.1830000000000001</v>
      </c>
      <c r="AT263" s="91">
        <f t="shared" si="625"/>
        <v>0</v>
      </c>
      <c r="AU263" s="94"/>
      <c r="AV263" s="95"/>
      <c r="AW263" s="56">
        <f t="shared" si="689"/>
        <v>0</v>
      </c>
      <c r="AX263" s="351"/>
      <c r="AY263" s="100">
        <f t="shared" ref="AY263:AY301" si="716">(AA263*AJ263+AK263)-(AC263*AM263)</f>
        <v>9.9166666666666661</v>
      </c>
      <c r="AZ263" s="360"/>
      <c r="BA263" s="91">
        <f t="shared" si="674"/>
        <v>-2523.4458803333323</v>
      </c>
      <c r="BB263" s="5">
        <f t="shared" si="645"/>
        <v>-9.9166666666666661</v>
      </c>
      <c r="BC263" s="363"/>
      <c r="BD263" s="91" t="e">
        <f t="shared" ca="1" si="690"/>
        <v>#N/A</v>
      </c>
      <c r="BE263" s="91" t="e">
        <f t="shared" ca="1" si="691"/>
        <v>#N/A</v>
      </c>
      <c r="BF263" s="91">
        <f t="shared" si="692"/>
        <v>31.833333333333329</v>
      </c>
      <c r="BG263" s="91" t="e">
        <f t="shared" ca="1" si="693"/>
        <v>#N/A</v>
      </c>
      <c r="BH263" s="91" t="e">
        <f t="shared" ca="1" si="561"/>
        <v>#N/A</v>
      </c>
      <c r="BI263" s="10" t="e">
        <f t="shared" ca="1" si="707"/>
        <v>#N/A</v>
      </c>
      <c r="BJ263" s="104">
        <f>((M263+Q263)*AJ263+AK263)+((U263-W263+W263/('Vergleich Holz Strom'!$B$8-0.6))*AO263+AP263)</f>
        <v>21.916666666666664</v>
      </c>
      <c r="BK263" s="10" t="e">
        <f t="shared" ca="1" si="646"/>
        <v>#N/A</v>
      </c>
      <c r="BL263" s="379"/>
      <c r="BM263" s="104" t="e">
        <f t="shared" ca="1" si="703"/>
        <v>#N/A</v>
      </c>
      <c r="BN263" s="40" t="e">
        <f ca="1">IF(ISNUMBER(BK263),BN262+SUMIF(BK254:BK265,"&lt;&gt;#NV",BK254:BK265)/COUNTIF(BK254:BK265,"&lt;&gt;#NV"),#N/A)</f>
        <v>#N/A</v>
      </c>
      <c r="BO263" s="10" t="e">
        <f ca="1">BK263+AT263+AU263</f>
        <v>#N/A</v>
      </c>
      <c r="BP263" s="104" t="e">
        <f t="shared" ca="1" si="647"/>
        <v>#N/A</v>
      </c>
      <c r="BQ263" s="104">
        <f t="shared" ca="1" si="667"/>
        <v>-58625.902526789054</v>
      </c>
      <c r="BR263" s="10">
        <f t="shared" si="694"/>
        <v>9.9166666666666661</v>
      </c>
      <c r="BS263" s="311"/>
      <c r="BT263" s="307"/>
      <c r="BU263" s="295">
        <f t="shared" si="695"/>
        <v>0</v>
      </c>
      <c r="BV263" s="323"/>
      <c r="BW263" s="299">
        <f t="shared" si="696"/>
        <v>0</v>
      </c>
      <c r="BX263" s="295">
        <f t="shared" si="697"/>
        <v>0</v>
      </c>
      <c r="BY263" s="382"/>
      <c r="BZ263" s="299">
        <f t="shared" si="704"/>
        <v>0</v>
      </c>
      <c r="CA263" s="295">
        <f t="shared" si="708"/>
        <v>0</v>
      </c>
      <c r="CB263" s="323"/>
      <c r="CC263" s="314">
        <f t="shared" si="682"/>
        <v>0</v>
      </c>
      <c r="CD263" s="326"/>
      <c r="CE263" s="299">
        <f t="shared" si="698"/>
        <v>0</v>
      </c>
      <c r="CF263" s="284">
        <f t="shared" si="683"/>
        <v>0</v>
      </c>
      <c r="CG263" s="323"/>
      <c r="CH263" s="302">
        <f t="shared" si="558"/>
        <v>0</v>
      </c>
      <c r="CI263" s="108">
        <f t="shared" si="699"/>
        <v>0</v>
      </c>
      <c r="CJ263" s="200">
        <f t="shared" si="700"/>
        <v>0</v>
      </c>
      <c r="CK263" s="197">
        <f t="shared" si="714"/>
        <v>0</v>
      </c>
      <c r="CL263" s="203">
        <f t="shared" si="701"/>
        <v>12</v>
      </c>
      <c r="CM263" s="4">
        <f>U263*Jahresdaten!$AD$2</f>
        <v>0</v>
      </c>
      <c r="CN263" s="112">
        <f>CJ263*Jahresdaten!$AD$2</f>
        <v>0</v>
      </c>
      <c r="CO263" s="366"/>
      <c r="CP263" s="116">
        <f>U263*Jahresdaten!$AD$3</f>
        <v>0</v>
      </c>
      <c r="CQ263" s="12">
        <f>CJ263*Jahresdaten!$AD$3</f>
        <v>0</v>
      </c>
      <c r="CR263" s="353"/>
      <c r="CS263" s="14"/>
      <c r="CT263" s="136"/>
      <c r="CU263" s="140" t="str">
        <f>IF(CT263=0,"",CT263*'Vergleich Holz Strom'!$B$2)</f>
        <v/>
      </c>
      <c r="CV263" s="353"/>
      <c r="CW263" s="366"/>
      <c r="CX263" s="345"/>
      <c r="CY263" s="345"/>
      <c r="CZ263" s="345"/>
      <c r="DA263" s="348"/>
      <c r="DB263" s="94"/>
      <c r="DC263" s="88">
        <f t="shared" si="632"/>
        <v>44288.344666666737</v>
      </c>
      <c r="DD263" s="94"/>
      <c r="DE263" s="88">
        <f t="shared" si="634"/>
        <v>-34859.112546999997</v>
      </c>
      <c r="DF263" s="100" t="e">
        <f ca="1">BE263+(SUM(CS254:CS265)/12)</f>
        <v>#N/A</v>
      </c>
      <c r="DG263" s="351"/>
      <c r="DH263" s="8">
        <f t="shared" si="675"/>
        <v>0</v>
      </c>
      <c r="DI263" s="123">
        <f t="shared" si="648"/>
        <v>18250</v>
      </c>
      <c r="DJ263" s="2">
        <f t="shared" si="676"/>
        <v>0</v>
      </c>
      <c r="DK263" s="127">
        <f>DK265/12*10</f>
        <v>6500</v>
      </c>
      <c r="DL263" s="2">
        <f t="shared" si="618"/>
        <v>650</v>
      </c>
      <c r="DM263" s="130">
        <f t="shared" si="677"/>
        <v>0</v>
      </c>
      <c r="DN263" s="3">
        <f>DN265/12*10</f>
        <v>2500</v>
      </c>
      <c r="DO263" s="130">
        <f t="shared" si="620"/>
        <v>250</v>
      </c>
      <c r="DP263" s="4">
        <f t="shared" si="678"/>
        <v>0</v>
      </c>
      <c r="DQ263" s="116">
        <f t="shared" si="679"/>
        <v>9250</v>
      </c>
      <c r="DR263" s="116">
        <f t="shared" si="684"/>
        <v>150</v>
      </c>
    </row>
    <row r="264" spans="1:122" ht="14.25" customHeight="1" thickBot="1" x14ac:dyDescent="0.2">
      <c r="A264" s="416"/>
      <c r="B264" s="16">
        <v>51349</v>
      </c>
      <c r="C264" s="207">
        <f>'PV-Felder'!$I$9</f>
        <v>3065.7</v>
      </c>
      <c r="D264" s="351"/>
      <c r="E264" s="61">
        <v>0</v>
      </c>
      <c r="F264" s="351"/>
      <c r="G264" s="56" t="e">
        <f t="shared" ca="1" si="686"/>
        <v>#N/A</v>
      </c>
      <c r="H264" s="351"/>
      <c r="I264" s="61">
        <v>0</v>
      </c>
      <c r="J264" s="351"/>
      <c r="K264" s="61">
        <v>0</v>
      </c>
      <c r="L264" s="351"/>
      <c r="M264" s="65">
        <f t="shared" si="705"/>
        <v>0</v>
      </c>
      <c r="N264" s="373"/>
      <c r="O264" s="288"/>
      <c r="P264" s="288"/>
      <c r="Q264" s="286">
        <f t="shared" si="687"/>
        <v>0</v>
      </c>
      <c r="R264" s="334"/>
      <c r="S264" s="61">
        <v>0</v>
      </c>
      <c r="T264" s="376"/>
      <c r="U264" s="61">
        <v>0</v>
      </c>
      <c r="V264" s="342"/>
      <c r="W264" s="61">
        <v>0</v>
      </c>
      <c r="X264" s="342"/>
      <c r="Y264" s="211" t="e">
        <f t="shared" si="612"/>
        <v>#N/A</v>
      </c>
      <c r="Z264" s="370"/>
      <c r="AA264" s="61">
        <v>0</v>
      </c>
      <c r="AB264" s="351"/>
      <c r="AC264" s="61">
        <v>0</v>
      </c>
      <c r="AD264" s="351"/>
      <c r="AE264" s="73" t="e">
        <f t="shared" si="642"/>
        <v>#N/A</v>
      </c>
      <c r="AF264" s="356"/>
      <c r="AG264" s="73" t="e">
        <f t="shared" si="643"/>
        <v>#N/A</v>
      </c>
      <c r="AH264" s="356"/>
      <c r="AI264" s="221">
        <f t="shared" si="680"/>
        <v>29.26</v>
      </c>
      <c r="AJ264" s="78">
        <f t="shared" ref="AJ264:AP264" si="717">AJ263</f>
        <v>0.26750000000000002</v>
      </c>
      <c r="AK264" s="79">
        <f t="shared" si="717"/>
        <v>9.9166666666666661</v>
      </c>
      <c r="AL264" s="80">
        <f t="shared" si="717"/>
        <v>187</v>
      </c>
      <c r="AM264" s="78">
        <f t="shared" si="717"/>
        <v>9.737942583732058E-2</v>
      </c>
      <c r="AN264" s="80">
        <f t="shared" si="717"/>
        <v>143</v>
      </c>
      <c r="AO264" s="78">
        <f t="shared" si="717"/>
        <v>0.21099999999999999</v>
      </c>
      <c r="AP264" s="88">
        <f t="shared" si="717"/>
        <v>12</v>
      </c>
      <c r="AQ264" s="64">
        <f t="shared" si="710"/>
        <v>21.5</v>
      </c>
      <c r="AR264" s="64">
        <f t="shared" si="711"/>
        <v>11.5</v>
      </c>
      <c r="AS264" s="88">
        <f t="shared" si="712"/>
        <v>1.1830000000000001</v>
      </c>
      <c r="AT264" s="91">
        <f t="shared" ref="AT264:AT295" si="718">AT263</f>
        <v>0</v>
      </c>
      <c r="AU264" s="94"/>
      <c r="AV264" s="95"/>
      <c r="AW264" s="56">
        <f t="shared" si="689"/>
        <v>0</v>
      </c>
      <c r="AX264" s="351"/>
      <c r="AY264" s="100">
        <f t="shared" si="716"/>
        <v>9.9166666666666661</v>
      </c>
      <c r="AZ264" s="360"/>
      <c r="BA264" s="91">
        <f t="shared" si="674"/>
        <v>-2533.3625469999988</v>
      </c>
      <c r="BB264" s="5">
        <f t="shared" si="645"/>
        <v>-9.9166666666666661</v>
      </c>
      <c r="BC264" s="363"/>
      <c r="BD264" s="91" t="e">
        <f t="shared" ca="1" si="690"/>
        <v>#N/A</v>
      </c>
      <c r="BE264" s="91" t="e">
        <f t="shared" ca="1" si="691"/>
        <v>#N/A</v>
      </c>
      <c r="BF264" s="91">
        <f t="shared" si="692"/>
        <v>31.833333333333329</v>
      </c>
      <c r="BG264" s="91" t="e">
        <f t="shared" ca="1" si="693"/>
        <v>#N/A</v>
      </c>
      <c r="BH264" s="91" t="e">
        <f t="shared" ca="1" si="561"/>
        <v>#N/A</v>
      </c>
      <c r="BI264" s="10" t="e">
        <f t="shared" ca="1" si="707"/>
        <v>#N/A</v>
      </c>
      <c r="BJ264" s="104">
        <f>((M264+Q264)*AJ264+AK264)+((U264-W264+W264/('Vergleich Holz Strom'!$B$8-0.6))*AO264+AP264)</f>
        <v>21.916666666666664</v>
      </c>
      <c r="BK264" s="10" t="e">
        <f t="shared" ca="1" si="646"/>
        <v>#N/A</v>
      </c>
      <c r="BL264" s="379"/>
      <c r="BM264" s="104" t="e">
        <f t="shared" ca="1" si="703"/>
        <v>#N/A</v>
      </c>
      <c r="BN264" s="40" t="e">
        <f ca="1">IF(ISNUMBER(BK264),BN263+SUMIF(BK254:BK265,"&lt;&gt;#NV",BK254:BK265)/COUNTIF(BK254:BK265,"&lt;&gt;#NV"),#N/A)</f>
        <v>#N/A</v>
      </c>
      <c r="BO264" s="10" t="e">
        <f t="shared" ref="BO264:BO274" ca="1" si="719">BK264+AT264+AU264</f>
        <v>#N/A</v>
      </c>
      <c r="BP264" s="104" t="e">
        <f t="shared" ca="1" si="647"/>
        <v>#N/A</v>
      </c>
      <c r="BQ264" s="104">
        <f t="shared" ca="1" si="667"/>
        <v>-58609.702610182168</v>
      </c>
      <c r="BR264" s="10">
        <f t="shared" si="694"/>
        <v>9.9166666666666661</v>
      </c>
      <c r="BS264" s="311"/>
      <c r="BT264" s="307"/>
      <c r="BU264" s="295">
        <f t="shared" si="695"/>
        <v>0</v>
      </c>
      <c r="BV264" s="323"/>
      <c r="BW264" s="299">
        <f t="shared" si="696"/>
        <v>0</v>
      </c>
      <c r="BX264" s="295">
        <f t="shared" si="697"/>
        <v>0</v>
      </c>
      <c r="BY264" s="382"/>
      <c r="BZ264" s="299">
        <f t="shared" si="704"/>
        <v>0</v>
      </c>
      <c r="CA264" s="295">
        <f t="shared" si="708"/>
        <v>0</v>
      </c>
      <c r="CB264" s="323"/>
      <c r="CC264" s="314">
        <f t="shared" si="682"/>
        <v>0</v>
      </c>
      <c r="CD264" s="326"/>
      <c r="CE264" s="299">
        <f t="shared" si="698"/>
        <v>0</v>
      </c>
      <c r="CF264" s="284">
        <f t="shared" si="683"/>
        <v>0</v>
      </c>
      <c r="CG264" s="323"/>
      <c r="CH264" s="302">
        <f t="shared" si="558"/>
        <v>0</v>
      </c>
      <c r="CI264" s="108">
        <f t="shared" si="699"/>
        <v>0</v>
      </c>
      <c r="CJ264" s="200">
        <f t="shared" si="700"/>
        <v>0</v>
      </c>
      <c r="CK264" s="197">
        <f t="shared" si="714"/>
        <v>0</v>
      </c>
      <c r="CL264" s="203">
        <f t="shared" si="701"/>
        <v>12</v>
      </c>
      <c r="CM264" s="4">
        <f>U264*Jahresdaten!$AD$2</f>
        <v>0</v>
      </c>
      <c r="CN264" s="112">
        <f>CJ264*Jahresdaten!$AD$2</f>
        <v>0</v>
      </c>
      <c r="CO264" s="366"/>
      <c r="CP264" s="116">
        <f>U264*Jahresdaten!$AD$3</f>
        <v>0</v>
      </c>
      <c r="CQ264" s="12">
        <f>CJ264*Jahresdaten!$AD$3</f>
        <v>0</v>
      </c>
      <c r="CR264" s="353"/>
      <c r="CS264" s="14"/>
      <c r="CT264" s="136"/>
      <c r="CU264" s="140" t="str">
        <f>IF(CT264=0,"",CT264*'Vergleich Holz Strom'!$B$2)</f>
        <v/>
      </c>
      <c r="CV264" s="353"/>
      <c r="CW264" s="366"/>
      <c r="CX264" s="345"/>
      <c r="CY264" s="345"/>
      <c r="CZ264" s="345"/>
      <c r="DA264" s="348"/>
      <c r="DB264" s="94"/>
      <c r="DC264" s="88">
        <f t="shared" si="632"/>
        <v>44465.428000000073</v>
      </c>
      <c r="DD264" s="94"/>
      <c r="DE264" s="88">
        <f t="shared" si="634"/>
        <v>-35002.112546999997</v>
      </c>
      <c r="DF264" s="100" t="e">
        <f ca="1">BE264+(SUM(CS254:CS265)/12)</f>
        <v>#N/A</v>
      </c>
      <c r="DG264" s="351"/>
      <c r="DH264" s="8">
        <f t="shared" si="675"/>
        <v>0</v>
      </c>
      <c r="DI264" s="123">
        <f t="shared" si="648"/>
        <v>19300</v>
      </c>
      <c r="DJ264" s="2">
        <f t="shared" si="676"/>
        <v>0</v>
      </c>
      <c r="DK264" s="127">
        <f>DK265/12*11</f>
        <v>7150</v>
      </c>
      <c r="DL264" s="2">
        <f t="shared" si="618"/>
        <v>650</v>
      </c>
      <c r="DM264" s="130">
        <f t="shared" si="677"/>
        <v>0</v>
      </c>
      <c r="DN264" s="3">
        <f>DN265/12*11</f>
        <v>2750</v>
      </c>
      <c r="DO264" s="130">
        <f t="shared" si="620"/>
        <v>250</v>
      </c>
      <c r="DP264" s="4">
        <f t="shared" si="678"/>
        <v>0</v>
      </c>
      <c r="DQ264" s="116">
        <f t="shared" si="679"/>
        <v>9400</v>
      </c>
      <c r="DR264" s="116">
        <f t="shared" si="684"/>
        <v>150</v>
      </c>
    </row>
    <row r="265" spans="1:122" s="28" customFormat="1" ht="15" customHeight="1" thickBot="1" x14ac:dyDescent="0.2">
      <c r="A265" s="417"/>
      <c r="B265" s="18">
        <v>51380</v>
      </c>
      <c r="C265" s="208">
        <f>'PV-Felder'!$I$10</f>
        <v>2246.7000000000003</v>
      </c>
      <c r="D265" s="352"/>
      <c r="E265" s="63">
        <v>0</v>
      </c>
      <c r="F265" s="352"/>
      <c r="G265" s="57" t="e">
        <f t="shared" ca="1" si="686"/>
        <v>#N/A</v>
      </c>
      <c r="H265" s="352"/>
      <c r="I265" s="63">
        <v>0</v>
      </c>
      <c r="J265" s="352"/>
      <c r="K265" s="63">
        <v>0</v>
      </c>
      <c r="L265" s="352"/>
      <c r="M265" s="67">
        <f t="shared" si="705"/>
        <v>0</v>
      </c>
      <c r="N265" s="374"/>
      <c r="O265" s="290"/>
      <c r="P265" s="290"/>
      <c r="Q265" s="289">
        <f t="shared" si="687"/>
        <v>0</v>
      </c>
      <c r="R265" s="334"/>
      <c r="S265" s="63">
        <v>0</v>
      </c>
      <c r="T265" s="377"/>
      <c r="U265" s="63">
        <v>0</v>
      </c>
      <c r="V265" s="343"/>
      <c r="W265" s="63">
        <v>0</v>
      </c>
      <c r="X265" s="343"/>
      <c r="Y265" s="213" t="e">
        <f t="shared" si="612"/>
        <v>#N/A</v>
      </c>
      <c r="Z265" s="371"/>
      <c r="AA265" s="63">
        <v>0</v>
      </c>
      <c r="AB265" s="352"/>
      <c r="AC265" s="63">
        <v>0</v>
      </c>
      <c r="AD265" s="352"/>
      <c r="AE265" s="75" t="e">
        <f t="shared" si="642"/>
        <v>#N/A</v>
      </c>
      <c r="AF265" s="357"/>
      <c r="AG265" s="75" t="e">
        <f t="shared" si="643"/>
        <v>#N/A</v>
      </c>
      <c r="AH265" s="357"/>
      <c r="AI265" s="223">
        <f>AI264</f>
        <v>29.26</v>
      </c>
      <c r="AJ265" s="83">
        <f t="shared" ref="AJ265:AP265" si="720">AJ264</f>
        <v>0.26750000000000002</v>
      </c>
      <c r="AK265" s="21">
        <f t="shared" si="720"/>
        <v>9.9166666666666661</v>
      </c>
      <c r="AL265" s="84">
        <f t="shared" si="720"/>
        <v>187</v>
      </c>
      <c r="AM265" s="83">
        <f t="shared" si="720"/>
        <v>9.737942583732058E-2</v>
      </c>
      <c r="AN265" s="84">
        <f t="shared" si="720"/>
        <v>143</v>
      </c>
      <c r="AO265" s="83">
        <f t="shared" si="720"/>
        <v>0.21099999999999999</v>
      </c>
      <c r="AP265" s="90">
        <f t="shared" si="720"/>
        <v>12</v>
      </c>
      <c r="AQ265" s="125">
        <f t="shared" si="710"/>
        <v>21.5</v>
      </c>
      <c r="AR265" s="125">
        <f t="shared" si="711"/>
        <v>11.5</v>
      </c>
      <c r="AS265" s="92">
        <f t="shared" si="712"/>
        <v>1.1830000000000001</v>
      </c>
      <c r="AT265" s="92">
        <f t="shared" si="718"/>
        <v>0</v>
      </c>
      <c r="AU265" s="98"/>
      <c r="AV265" s="99"/>
      <c r="AW265" s="57">
        <f t="shared" si="689"/>
        <v>0</v>
      </c>
      <c r="AX265" s="352"/>
      <c r="AY265" s="102">
        <f t="shared" si="716"/>
        <v>9.9166666666666661</v>
      </c>
      <c r="AZ265" s="361"/>
      <c r="BA265" s="92">
        <f t="shared" si="674"/>
        <v>-2543.2792136666653</v>
      </c>
      <c r="BB265" s="22">
        <f t="shared" si="645"/>
        <v>-9.9166666666666661</v>
      </c>
      <c r="BC265" s="364"/>
      <c r="BD265" s="92" t="e">
        <f t="shared" ca="1" si="690"/>
        <v>#N/A</v>
      </c>
      <c r="BE265" s="92" t="e">
        <f t="shared" ca="1" si="691"/>
        <v>#N/A</v>
      </c>
      <c r="BF265" s="92">
        <f t="shared" si="692"/>
        <v>31.833333333333329</v>
      </c>
      <c r="BG265" s="92" t="e">
        <f t="shared" ca="1" si="693"/>
        <v>#N/A</v>
      </c>
      <c r="BH265" s="92" t="e">
        <f t="shared" ca="1" si="561"/>
        <v>#N/A</v>
      </c>
      <c r="BI265" s="24" t="e">
        <f t="shared" ca="1" si="707"/>
        <v>#N/A</v>
      </c>
      <c r="BJ265" s="106">
        <f>((M265+Q265)*AJ265+AK265)+((U265-W265+W265/('Vergleich Holz Strom'!$B$8-0.6))*AO265+AP265)</f>
        <v>21.916666666666664</v>
      </c>
      <c r="BK265" s="24" t="e">
        <f t="shared" ca="1" si="646"/>
        <v>#N/A</v>
      </c>
      <c r="BL265" s="380"/>
      <c r="BM265" s="106" t="e">
        <f t="shared" ca="1" si="703"/>
        <v>#N/A</v>
      </c>
      <c r="BN265" s="226" t="e">
        <f ca="1">IF(ISNUMBER(BK265),BN264+SUMIF(BK254:BK265,"&lt;&gt;#NV",BK254:BK265)/COUNTIF(BK254:BK265,"&lt;&gt;#NV"),#N/A)</f>
        <v>#N/A</v>
      </c>
      <c r="BO265" s="318" t="e">
        <f t="shared" ca="1" si="719"/>
        <v>#N/A</v>
      </c>
      <c r="BP265" s="106" t="e">
        <f t="shared" ca="1" si="647"/>
        <v>#N/A</v>
      </c>
      <c r="BQ265" s="106">
        <f t="shared" ca="1" si="667"/>
        <v>-58593.502693575283</v>
      </c>
      <c r="BR265" s="24">
        <f t="shared" si="694"/>
        <v>9.9166666666666661</v>
      </c>
      <c r="BS265" s="312"/>
      <c r="BT265" s="308"/>
      <c r="BU265" s="296">
        <f t="shared" si="695"/>
        <v>0</v>
      </c>
      <c r="BV265" s="324"/>
      <c r="BW265" s="292">
        <f t="shared" si="696"/>
        <v>0</v>
      </c>
      <c r="BX265" s="295">
        <f t="shared" si="697"/>
        <v>0</v>
      </c>
      <c r="BY265" s="382"/>
      <c r="BZ265" s="299">
        <f t="shared" si="704"/>
        <v>0</v>
      </c>
      <c r="CA265" s="296">
        <f t="shared" si="708"/>
        <v>0</v>
      </c>
      <c r="CB265" s="324"/>
      <c r="CC265" s="315">
        <f t="shared" si="682"/>
        <v>0</v>
      </c>
      <c r="CD265" s="327"/>
      <c r="CE265" s="292">
        <f t="shared" si="698"/>
        <v>0</v>
      </c>
      <c r="CF265" s="296">
        <f t="shared" si="683"/>
        <v>0</v>
      </c>
      <c r="CG265" s="324"/>
      <c r="CH265" s="303">
        <f t="shared" si="558"/>
        <v>0</v>
      </c>
      <c r="CI265" s="110">
        <f t="shared" si="699"/>
        <v>0</v>
      </c>
      <c r="CJ265" s="200">
        <f t="shared" si="700"/>
        <v>0</v>
      </c>
      <c r="CK265" s="25">
        <f t="shared" si="714"/>
        <v>0</v>
      </c>
      <c r="CL265" s="204">
        <f t="shared" si="701"/>
        <v>12</v>
      </c>
      <c r="CM265" s="26">
        <f>U265*Jahresdaten!$AD$2</f>
        <v>0</v>
      </c>
      <c r="CN265" s="114">
        <f>CJ265*Jahresdaten!$AD$2</f>
        <v>0</v>
      </c>
      <c r="CO265" s="346"/>
      <c r="CP265" s="118">
        <f>U265*Jahresdaten!$AD$3</f>
        <v>0</v>
      </c>
      <c r="CQ265" s="25">
        <f>CJ265*Jahresdaten!$AD$3</f>
        <v>0</v>
      </c>
      <c r="CR265" s="354"/>
      <c r="CS265" s="23"/>
      <c r="CT265" s="138"/>
      <c r="CU265" s="141" t="str">
        <f>IF(CT265=0,"",CT265*'Vergleich Holz Strom'!$B$2)</f>
        <v/>
      </c>
      <c r="CV265" s="354"/>
      <c r="CW265" s="346"/>
      <c r="CX265" s="346"/>
      <c r="CY265" s="346"/>
      <c r="CZ265" s="346"/>
      <c r="DA265" s="349"/>
      <c r="DB265" s="98"/>
      <c r="DC265" s="90">
        <f t="shared" si="632"/>
        <v>44642.511333333408</v>
      </c>
      <c r="DD265" s="98"/>
      <c r="DE265" s="90">
        <f t="shared" si="634"/>
        <v>-35145.112546999997</v>
      </c>
      <c r="DF265" s="102" t="e">
        <f ca="1">BE265+(SUM(CS254:CS265)/12)</f>
        <v>#N/A</v>
      </c>
      <c r="DG265" s="352"/>
      <c r="DH265" s="19">
        <f t="shared" si="675"/>
        <v>0</v>
      </c>
      <c r="DI265" s="125">
        <f t="shared" si="648"/>
        <v>20800</v>
      </c>
      <c r="DJ265" s="20">
        <f t="shared" si="676"/>
        <v>0</v>
      </c>
      <c r="DK265" s="129">
        <f>DK253</f>
        <v>7800</v>
      </c>
      <c r="DL265" s="20">
        <f t="shared" si="618"/>
        <v>650</v>
      </c>
      <c r="DM265" s="132">
        <f t="shared" si="677"/>
        <v>0</v>
      </c>
      <c r="DN265" s="27">
        <f>DN253</f>
        <v>3000</v>
      </c>
      <c r="DO265" s="132">
        <f t="shared" si="620"/>
        <v>250</v>
      </c>
      <c r="DP265" s="26">
        <f t="shared" si="678"/>
        <v>0</v>
      </c>
      <c r="DQ265" s="118">
        <f>DQ253</f>
        <v>10000</v>
      </c>
      <c r="DR265" s="118">
        <f>DR253</f>
        <v>600</v>
      </c>
    </row>
    <row r="266" spans="1:122" ht="15" customHeight="1" thickBot="1" x14ac:dyDescent="0.2">
      <c r="A266" s="415" t="s">
        <v>180</v>
      </c>
      <c r="B266" s="16">
        <v>51410</v>
      </c>
      <c r="C266" s="207">
        <f>'PV-Felder'!$I$11</f>
        <v>1416.7</v>
      </c>
      <c r="D266" s="358">
        <f>SUMIF(E266:E277,"&gt;0",C266:C277)</f>
        <v>0</v>
      </c>
      <c r="E266" s="61">
        <v>0</v>
      </c>
      <c r="F266" s="368">
        <f>SUM(E266:E277)</f>
        <v>0</v>
      </c>
      <c r="G266" s="58" t="e">
        <f t="shared" ca="1" si="686"/>
        <v>#N/A</v>
      </c>
      <c r="H266" s="358" t="e">
        <f ca="1">IF(TODAY()&lt;B266,#N/A,F266-D266)</f>
        <v>#N/A</v>
      </c>
      <c r="I266" s="61">
        <v>0</v>
      </c>
      <c r="J266" s="368">
        <f>SUM(I266:I277)</f>
        <v>0</v>
      </c>
      <c r="K266" s="61">
        <v>0</v>
      </c>
      <c r="L266" s="368">
        <f>SUM(K266:K277)</f>
        <v>0</v>
      </c>
      <c r="M266" s="66">
        <f t="shared" si="705"/>
        <v>0</v>
      </c>
      <c r="N266" s="372">
        <f>SUM(M266:M277)</f>
        <v>0</v>
      </c>
      <c r="Q266" s="287">
        <f t="shared" si="687"/>
        <v>0</v>
      </c>
      <c r="R266" s="333">
        <f>SUM(Q266:Q277)</f>
        <v>0</v>
      </c>
      <c r="S266" s="61">
        <v>0</v>
      </c>
      <c r="T266" s="375">
        <f>SUM(S266:S277)</f>
        <v>0</v>
      </c>
      <c r="U266" s="61">
        <v>0</v>
      </c>
      <c r="V266" s="341">
        <f>SUM(U266:U277)</f>
        <v>0</v>
      </c>
      <c r="W266" s="61">
        <v>0</v>
      </c>
      <c r="X266" s="341">
        <f>SUM(W266:W277)</f>
        <v>0</v>
      </c>
      <c r="Y266" s="211" t="e">
        <f t="shared" si="612"/>
        <v>#N/A</v>
      </c>
      <c r="Z266" s="369">
        <f>N266+T266+V266</f>
        <v>0</v>
      </c>
      <c r="AA266" s="62">
        <v>0</v>
      </c>
      <c r="AB266" s="368">
        <f>SUM(AA266:AA277)</f>
        <v>0</v>
      </c>
      <c r="AC266" s="62">
        <v>0</v>
      </c>
      <c r="AD266" s="368">
        <f>SUM(AC266:AC277)</f>
        <v>0</v>
      </c>
      <c r="AE266" s="74" t="e">
        <f t="shared" si="642"/>
        <v>#N/A</v>
      </c>
      <c r="AF266" s="355" t="e">
        <f>IF(SUMIF(AE266:AE277,"&gt;0")&gt;0,SUMIF(AE266:AE277,"&gt;0")/COUNTIF(AE266:AE277,"&gt;0"),#N/A)</f>
        <v>#N/A</v>
      </c>
      <c r="AG266" s="73" t="e">
        <f t="shared" si="643"/>
        <v>#N/A</v>
      </c>
      <c r="AH266" s="355" t="e">
        <f>IF(SUMIF(AG266:AG277,"&gt;0")&gt;0,SUMIF(AG266:AG277,"&gt;0")/COUNTIF(AG266:AG277,"&gt;0"),#N/A)</f>
        <v>#N/A</v>
      </c>
      <c r="AI266" s="222">
        <f>AI265</f>
        <v>29.26</v>
      </c>
      <c r="AJ266" s="78">
        <f t="shared" ref="AJ266:AP266" si="721">AJ265</f>
        <v>0.26750000000000002</v>
      </c>
      <c r="AK266" s="79">
        <f t="shared" si="721"/>
        <v>9.9166666666666661</v>
      </c>
      <c r="AL266" s="80">
        <f t="shared" si="721"/>
        <v>187</v>
      </c>
      <c r="AM266" s="78">
        <f t="shared" si="721"/>
        <v>9.737942583732058E-2</v>
      </c>
      <c r="AN266" s="80">
        <f t="shared" si="721"/>
        <v>143</v>
      </c>
      <c r="AO266" s="78">
        <f t="shared" si="721"/>
        <v>0.21099999999999999</v>
      </c>
      <c r="AP266" s="88">
        <f t="shared" si="721"/>
        <v>12</v>
      </c>
      <c r="AQ266" s="64">
        <f t="shared" si="710"/>
        <v>21.5</v>
      </c>
      <c r="AR266" s="64">
        <f t="shared" si="711"/>
        <v>11.5</v>
      </c>
      <c r="AS266" s="88">
        <f t="shared" si="712"/>
        <v>1.1830000000000001</v>
      </c>
      <c r="AT266" s="91">
        <f t="shared" si="718"/>
        <v>0</v>
      </c>
      <c r="AU266" s="94"/>
      <c r="AV266" s="95"/>
      <c r="AW266" s="56">
        <f t="shared" si="689"/>
        <v>0</v>
      </c>
      <c r="AX266" s="358">
        <f>SUM(AW266:AW277)</f>
        <v>0</v>
      </c>
      <c r="AY266" s="100">
        <f t="shared" si="716"/>
        <v>9.9166666666666661</v>
      </c>
      <c r="AZ266" s="359">
        <f>SUM(AY266:AY277)</f>
        <v>119.00000000000001</v>
      </c>
      <c r="BA266" s="103">
        <f>BA265-AY266</f>
        <v>-2553.1958803333318</v>
      </c>
      <c r="BB266" s="5">
        <f t="shared" si="645"/>
        <v>-9.9166666666666661</v>
      </c>
      <c r="BC266" s="362">
        <f>SUM(AY266:AY277)/12</f>
        <v>9.9166666666666679</v>
      </c>
      <c r="BD266" s="91" t="e">
        <f t="shared" ca="1" si="690"/>
        <v>#N/A</v>
      </c>
      <c r="BE266" s="91" t="e">
        <f t="shared" ca="1" si="691"/>
        <v>#N/A</v>
      </c>
      <c r="BF266" s="91">
        <f t="shared" si="692"/>
        <v>31.833333333333329</v>
      </c>
      <c r="BG266" s="91" t="e">
        <f t="shared" ca="1" si="693"/>
        <v>#N/A</v>
      </c>
      <c r="BH266" s="91" t="e">
        <f t="shared" ca="1" si="561"/>
        <v>#N/A</v>
      </c>
      <c r="BI266" s="10" t="e">
        <f t="shared" ca="1" si="707"/>
        <v>#N/A</v>
      </c>
      <c r="BJ266" s="104">
        <f>((M266+Q266)*AJ266+AK266)+((U266-W266+W266/('Vergleich Holz Strom'!$B$8-0.6))*AO266+AP266)</f>
        <v>21.916666666666664</v>
      </c>
      <c r="BK266" s="10" t="e">
        <f t="shared" ca="1" si="646"/>
        <v>#N/A</v>
      </c>
      <c r="BL266" s="378">
        <f ca="1">SUMIF(BK266:BK277,"&lt;&gt;#NV",BK266:BK277)</f>
        <v>0</v>
      </c>
      <c r="BM266" s="104" t="e">
        <f t="shared" ca="1" si="703"/>
        <v>#N/A</v>
      </c>
      <c r="BN266" s="40" t="e">
        <f ca="1">IF(ISNUMBER(BK266),BN265+SUMIF(BK266:BK277,"&lt;&gt;#NV",BK266:BK277)/COUNTIF(BK266:BK277,"&lt;&gt;#NV"),#N/A)</f>
        <v>#N/A</v>
      </c>
      <c r="BO266" s="10" t="e">
        <f t="shared" ca="1" si="719"/>
        <v>#N/A</v>
      </c>
      <c r="BP266" s="105" t="e">
        <f t="shared" ca="1" si="647"/>
        <v>#N/A</v>
      </c>
      <c r="BQ266" s="104">
        <f t="shared" ca="1" si="667"/>
        <v>-58581.502693575283</v>
      </c>
      <c r="BR266" s="10">
        <f t="shared" si="694"/>
        <v>9.9166666666666661</v>
      </c>
      <c r="BS266" s="311"/>
      <c r="BT266" s="307"/>
      <c r="BU266" s="295">
        <f t="shared" si="695"/>
        <v>0</v>
      </c>
      <c r="BV266" s="322">
        <f>SUM(BU266:BU277)</f>
        <v>0</v>
      </c>
      <c r="BW266" s="300">
        <f t="shared" si="696"/>
        <v>0</v>
      </c>
      <c r="BX266" s="305">
        <f t="shared" si="697"/>
        <v>0</v>
      </c>
      <c r="BY266" s="381">
        <f>SUM(BX266:BX277)</f>
        <v>0</v>
      </c>
      <c r="BZ266" s="300">
        <f t="shared" si="704"/>
        <v>0</v>
      </c>
      <c r="CA266" s="295">
        <f t="shared" si="708"/>
        <v>0</v>
      </c>
      <c r="CB266" s="322">
        <f>SUM(CA266:CA277)</f>
        <v>0</v>
      </c>
      <c r="CC266" s="314">
        <f t="shared" si="682"/>
        <v>0</v>
      </c>
      <c r="CD266" s="325">
        <f>SUM(CC266:CC277)</f>
        <v>0</v>
      </c>
      <c r="CE266" s="299">
        <f t="shared" si="698"/>
        <v>0</v>
      </c>
      <c r="CF266" s="284">
        <f t="shared" si="683"/>
        <v>0</v>
      </c>
      <c r="CG266" s="328">
        <f>SUM(CF266:CF277)</f>
        <v>0</v>
      </c>
      <c r="CH266" s="302">
        <f t="shared" si="558"/>
        <v>0</v>
      </c>
      <c r="CI266" s="108">
        <f t="shared" si="699"/>
        <v>0</v>
      </c>
      <c r="CJ266" s="201">
        <f t="shared" si="700"/>
        <v>0</v>
      </c>
      <c r="CK266" s="197">
        <f t="shared" si="714"/>
        <v>0</v>
      </c>
      <c r="CL266" s="203">
        <f t="shared" si="701"/>
        <v>12</v>
      </c>
      <c r="CM266" s="4">
        <f>U266*Jahresdaten!$AD$2</f>
        <v>0</v>
      </c>
      <c r="CN266" s="112">
        <f>CJ266*Jahresdaten!$AD$2</f>
        <v>0</v>
      </c>
      <c r="CO266" s="365">
        <f>CW266*Jahresdaten!$AD$2</f>
        <v>856.59076092206669</v>
      </c>
      <c r="CP266" s="116">
        <f>U266*Jahresdaten!$AD$3</f>
        <v>0</v>
      </c>
      <c r="CQ266" s="12">
        <f>CJ266*Jahresdaten!$AD$3</f>
        <v>0</v>
      </c>
      <c r="CR266" s="367">
        <f>CW266*Jahresdaten!$AD$3</f>
        <v>312.40923907793319</v>
      </c>
      <c r="CS266" s="14">
        <f>CS254</f>
        <v>1169</v>
      </c>
      <c r="CT266" s="136">
        <f>CT254</f>
        <v>12</v>
      </c>
      <c r="CU266" s="140">
        <f>IF(CT266=0,"",CT266*'Vergleich Holz Strom'!$B$2)</f>
        <v>25800</v>
      </c>
      <c r="CV266" s="120" t="s">
        <v>7</v>
      </c>
      <c r="CW266" s="365">
        <f>CV267+CV273</f>
        <v>1169</v>
      </c>
      <c r="CX266" s="344">
        <f>SUM(CS266:CS277)/SUM(CU266:CU277)*(SUM(CU266:CU277)+(V266*('Vergleich Holz Strom'!$B$8-0.6)/'Vergleich Holz Strom'!$E$6))</f>
        <v>1169</v>
      </c>
      <c r="CY266" s="344">
        <f>SUM(CU266:CU277)*'Vergleich Holz Strom'!$E$6/('Vergleich Holz Strom'!$B$8-0.6)*(SUM(AJ266:AJ277)/12)+CV267</f>
        <v>1420.8970588235295</v>
      </c>
      <c r="CZ266" s="344">
        <f>SUM(CU266:CU277)*'Vergleich Holz Strom'!$E$6/('Vergleich Holz Strom'!$B$8-0.6)*SUM(AM266:AM277)/12+SUM(CK266:CK277)</f>
        <v>517.25659724176774</v>
      </c>
      <c r="DA266" s="347">
        <f>SUM(CU266:CU277)*'Vergleich Holz Strom'!$E$6/('Vergleich Holz Strom'!$B$8-0.6)*(SUM(AO266:AO277)/12)+SUM(CL266:CL277)</f>
        <v>1264.7823529411764</v>
      </c>
      <c r="DB266" s="94"/>
      <c r="DC266" s="88">
        <f t="shared" si="632"/>
        <v>44819.594666666744</v>
      </c>
      <c r="DD266" s="94"/>
      <c r="DE266" s="88">
        <f t="shared" si="634"/>
        <v>-35288.112546999997</v>
      </c>
      <c r="DF266" s="100" t="e">
        <f ca="1">BE266+(SUM(CS266:CS277)/12)</f>
        <v>#N/A</v>
      </c>
      <c r="DG266" s="350">
        <f ca="1">SUMIF(DF266:DF277,"&gt;0")</f>
        <v>0</v>
      </c>
      <c r="DH266" s="8">
        <f>M266+S266+U266</f>
        <v>0</v>
      </c>
      <c r="DI266" s="123">
        <f t="shared" si="648"/>
        <v>1850</v>
      </c>
      <c r="DJ266" s="2">
        <f>M266</f>
        <v>0</v>
      </c>
      <c r="DK266" s="127">
        <f>DK277/12*1</f>
        <v>650</v>
      </c>
      <c r="DL266" s="2">
        <f>DL265</f>
        <v>650</v>
      </c>
      <c r="DM266" s="130">
        <f>S266</f>
        <v>0</v>
      </c>
      <c r="DN266" s="3">
        <f>DN277/12*1</f>
        <v>250</v>
      </c>
      <c r="DO266" s="130">
        <f>DO265</f>
        <v>250</v>
      </c>
      <c r="DP266" s="4">
        <f>U266</f>
        <v>0</v>
      </c>
      <c r="DQ266" s="116">
        <f>DR266</f>
        <v>950</v>
      </c>
      <c r="DR266" s="116">
        <f>DR254</f>
        <v>950</v>
      </c>
    </row>
    <row r="267" spans="1:122" ht="14.25" customHeight="1" thickBot="1" x14ac:dyDescent="0.2">
      <c r="A267" s="416"/>
      <c r="B267" s="16">
        <v>51441</v>
      </c>
      <c r="C267" s="207">
        <f>'PV-Felder'!$I$12</f>
        <v>739.6</v>
      </c>
      <c r="D267" s="351"/>
      <c r="E267" s="61">
        <v>0</v>
      </c>
      <c r="F267" s="351"/>
      <c r="G267" s="56" t="e">
        <f t="shared" ca="1" si="686"/>
        <v>#N/A</v>
      </c>
      <c r="H267" s="351"/>
      <c r="I267" s="61">
        <v>0</v>
      </c>
      <c r="J267" s="351"/>
      <c r="K267" s="61">
        <v>0</v>
      </c>
      <c r="L267" s="351"/>
      <c r="M267" s="65">
        <f t="shared" si="705"/>
        <v>0</v>
      </c>
      <c r="N267" s="373"/>
      <c r="O267" s="288"/>
      <c r="P267" s="288"/>
      <c r="Q267" s="286">
        <f t="shared" si="687"/>
        <v>0</v>
      </c>
      <c r="R267" s="334"/>
      <c r="S267" s="61">
        <v>0</v>
      </c>
      <c r="T267" s="376"/>
      <c r="U267" s="61">
        <v>0</v>
      </c>
      <c r="V267" s="342"/>
      <c r="W267" s="61">
        <v>0</v>
      </c>
      <c r="X267" s="342"/>
      <c r="Y267" s="211" t="e">
        <f t="shared" si="612"/>
        <v>#N/A</v>
      </c>
      <c r="Z267" s="370"/>
      <c r="AA267" s="61">
        <v>0</v>
      </c>
      <c r="AB267" s="351"/>
      <c r="AC267" s="61">
        <v>0</v>
      </c>
      <c r="AD267" s="351"/>
      <c r="AE267" s="73" t="e">
        <f t="shared" si="642"/>
        <v>#N/A</v>
      </c>
      <c r="AF267" s="356"/>
      <c r="AG267" s="73" t="e">
        <f t="shared" si="643"/>
        <v>#N/A</v>
      </c>
      <c r="AH267" s="356"/>
      <c r="AI267" s="221">
        <f>AI266</f>
        <v>29.26</v>
      </c>
      <c r="AJ267" s="78">
        <f t="shared" ref="AJ267:AN267" si="722">AJ266</f>
        <v>0.26750000000000002</v>
      </c>
      <c r="AK267" s="79">
        <f t="shared" si="722"/>
        <v>9.9166666666666661</v>
      </c>
      <c r="AL267" s="80">
        <f t="shared" si="722"/>
        <v>187</v>
      </c>
      <c r="AM267" s="78">
        <f t="shared" si="722"/>
        <v>9.737942583732058E-2</v>
      </c>
      <c r="AN267" s="80">
        <f t="shared" si="722"/>
        <v>143</v>
      </c>
      <c r="AO267" s="78">
        <f>AO266</f>
        <v>0.21099999999999999</v>
      </c>
      <c r="AP267" s="88">
        <f>AP266</f>
        <v>12</v>
      </c>
      <c r="AQ267" s="64">
        <f t="shared" si="710"/>
        <v>21.5</v>
      </c>
      <c r="AR267" s="64">
        <f t="shared" si="711"/>
        <v>11.5</v>
      </c>
      <c r="AS267" s="88">
        <f t="shared" si="712"/>
        <v>1.1830000000000001</v>
      </c>
      <c r="AT267" s="91">
        <f t="shared" si="718"/>
        <v>0</v>
      </c>
      <c r="AU267" s="94"/>
      <c r="AV267" s="95"/>
      <c r="AW267" s="56">
        <f t="shared" si="689"/>
        <v>0</v>
      </c>
      <c r="AX267" s="351"/>
      <c r="AY267" s="100">
        <f t="shared" si="716"/>
        <v>9.9166666666666661</v>
      </c>
      <c r="AZ267" s="360"/>
      <c r="BA267" s="91">
        <f t="shared" ref="BA267:BA277" si="723">BA266-AY267</f>
        <v>-2563.1125469999984</v>
      </c>
      <c r="BB267" s="5">
        <f t="shared" si="645"/>
        <v>-9.9166666666666661</v>
      </c>
      <c r="BC267" s="363"/>
      <c r="BD267" s="91" t="e">
        <f t="shared" ca="1" si="690"/>
        <v>#N/A</v>
      </c>
      <c r="BE267" s="91" t="e">
        <f t="shared" ca="1" si="691"/>
        <v>#N/A</v>
      </c>
      <c r="BF267" s="91">
        <f t="shared" si="692"/>
        <v>31.833333333333329</v>
      </c>
      <c r="BG267" s="91" t="e">
        <f t="shared" ca="1" si="693"/>
        <v>#N/A</v>
      </c>
      <c r="BH267" s="91" t="e">
        <f t="shared" ca="1" si="561"/>
        <v>#N/A</v>
      </c>
      <c r="BI267" s="10" t="e">
        <f t="shared" ca="1" si="707"/>
        <v>#N/A</v>
      </c>
      <c r="BJ267" s="104">
        <f>((M267+Q267)*AJ267+AK267)+((U267-W267+W267/('Vergleich Holz Strom'!$B$8-0.6))*AO267+AP267)</f>
        <v>21.916666666666664</v>
      </c>
      <c r="BK267" s="10" t="e">
        <f t="shared" ca="1" si="646"/>
        <v>#N/A</v>
      </c>
      <c r="BL267" s="379"/>
      <c r="BM267" s="104" t="e">
        <f t="shared" ca="1" si="703"/>
        <v>#N/A</v>
      </c>
      <c r="BN267" s="40" t="e">
        <f ca="1">IF(ISNUMBER(BK267),BN266+SUMIF(BK266:BK277,"&lt;&gt;#NV",BK266:BK277)/COUNTIF(BK266:BK277,"&lt;&gt;#NV"),#N/A)</f>
        <v>#N/A</v>
      </c>
      <c r="BO267" s="10" t="e">
        <f t="shared" ca="1" si="719"/>
        <v>#N/A</v>
      </c>
      <c r="BP267" s="104" t="e">
        <f t="shared" ca="1" si="647"/>
        <v>#N/A</v>
      </c>
      <c r="BQ267" s="104">
        <f t="shared" ca="1" si="667"/>
        <v>-58569.502693575283</v>
      </c>
      <c r="BR267" s="10">
        <f t="shared" si="694"/>
        <v>9.9166666666666661</v>
      </c>
      <c r="BS267" s="311"/>
      <c r="BT267" s="307"/>
      <c r="BU267" s="295">
        <f t="shared" si="695"/>
        <v>0</v>
      </c>
      <c r="BV267" s="323"/>
      <c r="BW267" s="299">
        <f t="shared" si="696"/>
        <v>0</v>
      </c>
      <c r="BX267" s="295">
        <f t="shared" si="697"/>
        <v>0</v>
      </c>
      <c r="BY267" s="382"/>
      <c r="BZ267" s="299">
        <f t="shared" si="704"/>
        <v>0</v>
      </c>
      <c r="CA267" s="295">
        <f t="shared" si="708"/>
        <v>0</v>
      </c>
      <c r="CB267" s="323"/>
      <c r="CC267" s="314">
        <f>Q267/AQ267*100+BS267/AQ267*100</f>
        <v>0</v>
      </c>
      <c r="CD267" s="326"/>
      <c r="CE267" s="299">
        <f t="shared" si="698"/>
        <v>0</v>
      </c>
      <c r="CF267" s="284">
        <f>CE267-CA267</f>
        <v>0</v>
      </c>
      <c r="CG267" s="323"/>
      <c r="CH267" s="302">
        <f t="shared" si="558"/>
        <v>0</v>
      </c>
      <c r="CI267" s="108">
        <f t="shared" si="699"/>
        <v>0</v>
      </c>
      <c r="CJ267" s="200">
        <f t="shared" si="700"/>
        <v>0</v>
      </c>
      <c r="CK267" s="197">
        <f t="shared" si="714"/>
        <v>0</v>
      </c>
      <c r="CL267" s="203">
        <f t="shared" si="701"/>
        <v>12</v>
      </c>
      <c r="CM267" s="4">
        <f>U267*Jahresdaten!$AD$2</f>
        <v>0</v>
      </c>
      <c r="CN267" s="112">
        <f>CJ267*Jahresdaten!$AD$2</f>
        <v>0</v>
      </c>
      <c r="CO267" s="366"/>
      <c r="CP267" s="116">
        <f>U267*Jahresdaten!$AD$3</f>
        <v>0</v>
      </c>
      <c r="CQ267" s="12">
        <f>CJ267*Jahresdaten!$AD$3</f>
        <v>0</v>
      </c>
      <c r="CR267" s="353"/>
      <c r="CS267" s="14"/>
      <c r="CT267" s="136"/>
      <c r="CU267" s="140" t="str">
        <f>IF(CT267=0,"",CT267*'Vergleich Holz Strom'!$B$2)</f>
        <v/>
      </c>
      <c r="CV267" s="353">
        <f>SUM(CJ266:CJ277)</f>
        <v>0</v>
      </c>
      <c r="CW267" s="366"/>
      <c r="CX267" s="345"/>
      <c r="CY267" s="345"/>
      <c r="CZ267" s="345"/>
      <c r="DA267" s="348"/>
      <c r="DB267" s="94"/>
      <c r="DC267" s="88">
        <f t="shared" si="632"/>
        <v>44996.67800000008</v>
      </c>
      <c r="DD267" s="94"/>
      <c r="DE267" s="88">
        <f t="shared" si="634"/>
        <v>-35431.112546999997</v>
      </c>
      <c r="DF267" s="100" t="e">
        <f ca="1">BE267+(SUM(CS266:CS277)/12)</f>
        <v>#N/A</v>
      </c>
      <c r="DG267" s="351"/>
      <c r="DH267" s="8">
        <f t="shared" ref="DH267:DH277" si="724">DH266+M267+S267+U267</f>
        <v>0</v>
      </c>
      <c r="DI267" s="123">
        <f t="shared" si="648"/>
        <v>3550</v>
      </c>
      <c r="DJ267" s="2">
        <f t="shared" ref="DJ267:DJ277" si="725">DJ266+M267</f>
        <v>0</v>
      </c>
      <c r="DK267" s="127">
        <f>DK277/12*2</f>
        <v>1300</v>
      </c>
      <c r="DL267" s="2">
        <f t="shared" si="618"/>
        <v>650</v>
      </c>
      <c r="DM267" s="130">
        <f t="shared" ref="DM267:DM277" si="726">DM266+S267</f>
        <v>0</v>
      </c>
      <c r="DN267" s="3">
        <f>DN277/12*2</f>
        <v>500</v>
      </c>
      <c r="DO267" s="130">
        <f t="shared" si="620"/>
        <v>250</v>
      </c>
      <c r="DP267" s="4">
        <f t="shared" ref="DP267:DP277" si="727">DP266+U267</f>
        <v>0</v>
      </c>
      <c r="DQ267" s="116">
        <f t="shared" ref="DQ267:DQ276" si="728">DQ266+DR267</f>
        <v>1750</v>
      </c>
      <c r="DR267" s="116">
        <f>DR255</f>
        <v>800</v>
      </c>
    </row>
    <row r="268" spans="1:122" ht="14.25" customHeight="1" thickBot="1" x14ac:dyDescent="0.2">
      <c r="A268" s="416"/>
      <c r="B268" s="16">
        <v>51471</v>
      </c>
      <c r="C268" s="207">
        <f>'PV-Felder'!$I$13</f>
        <v>559.9</v>
      </c>
      <c r="D268" s="351"/>
      <c r="E268" s="61">
        <v>0</v>
      </c>
      <c r="F268" s="351"/>
      <c r="G268" s="56" t="e">
        <f t="shared" ca="1" si="686"/>
        <v>#N/A</v>
      </c>
      <c r="H268" s="351"/>
      <c r="I268" s="61">
        <v>0</v>
      </c>
      <c r="J268" s="351"/>
      <c r="K268" s="61">
        <v>0</v>
      </c>
      <c r="L268" s="351"/>
      <c r="M268" s="65">
        <f t="shared" si="705"/>
        <v>0</v>
      </c>
      <c r="N268" s="373"/>
      <c r="O268" s="288"/>
      <c r="P268" s="288"/>
      <c r="Q268" s="286">
        <f t="shared" si="687"/>
        <v>0</v>
      </c>
      <c r="R268" s="334"/>
      <c r="S268" s="61">
        <v>0</v>
      </c>
      <c r="T268" s="376"/>
      <c r="U268" s="61">
        <v>0</v>
      </c>
      <c r="V268" s="342"/>
      <c r="W268" s="61">
        <v>0</v>
      </c>
      <c r="X268" s="342"/>
      <c r="Y268" s="211" t="e">
        <f t="shared" si="612"/>
        <v>#N/A</v>
      </c>
      <c r="Z268" s="370"/>
      <c r="AA268" s="61">
        <v>0</v>
      </c>
      <c r="AB268" s="351"/>
      <c r="AC268" s="61">
        <v>0</v>
      </c>
      <c r="AD268" s="351"/>
      <c r="AE268" s="73" t="e">
        <f t="shared" si="642"/>
        <v>#N/A</v>
      </c>
      <c r="AF268" s="356"/>
      <c r="AG268" s="73" t="e">
        <f t="shared" si="643"/>
        <v>#N/A</v>
      </c>
      <c r="AH268" s="356"/>
      <c r="AI268" s="221">
        <f t="shared" ref="AI268:AI276" si="729">AI267</f>
        <v>29.26</v>
      </c>
      <c r="AJ268" s="78">
        <f t="shared" ref="AJ268:AN268" si="730">AJ267</f>
        <v>0.26750000000000002</v>
      </c>
      <c r="AK268" s="79">
        <f t="shared" si="730"/>
        <v>9.9166666666666661</v>
      </c>
      <c r="AL268" s="80">
        <f t="shared" si="730"/>
        <v>187</v>
      </c>
      <c r="AM268" s="78">
        <f t="shared" si="730"/>
        <v>9.737942583732058E-2</v>
      </c>
      <c r="AN268" s="80">
        <f t="shared" si="730"/>
        <v>143</v>
      </c>
      <c r="AO268" s="78">
        <f>AO267</f>
        <v>0.21099999999999999</v>
      </c>
      <c r="AP268" s="88">
        <f>AP267</f>
        <v>12</v>
      </c>
      <c r="AQ268" s="64">
        <f t="shared" si="710"/>
        <v>21.5</v>
      </c>
      <c r="AR268" s="64">
        <f t="shared" si="711"/>
        <v>11.5</v>
      </c>
      <c r="AS268" s="88">
        <f t="shared" si="712"/>
        <v>1.1830000000000001</v>
      </c>
      <c r="AT268" s="91">
        <f t="shared" si="718"/>
        <v>0</v>
      </c>
      <c r="AU268" s="94"/>
      <c r="AV268" s="95"/>
      <c r="AW268" s="56">
        <f t="shared" si="689"/>
        <v>0</v>
      </c>
      <c r="AX268" s="351"/>
      <c r="AY268" s="100">
        <f t="shared" si="716"/>
        <v>9.9166666666666661</v>
      </c>
      <c r="AZ268" s="360"/>
      <c r="BA268" s="91">
        <f t="shared" si="723"/>
        <v>-2573.0292136666649</v>
      </c>
      <c r="BB268" s="5">
        <f t="shared" si="645"/>
        <v>-9.9166666666666661</v>
      </c>
      <c r="BC268" s="363"/>
      <c r="BD268" s="91" t="e">
        <f t="shared" ca="1" si="690"/>
        <v>#N/A</v>
      </c>
      <c r="BE268" s="91" t="e">
        <f t="shared" ca="1" si="691"/>
        <v>#N/A</v>
      </c>
      <c r="BF268" s="91">
        <f t="shared" si="692"/>
        <v>31.833333333333329</v>
      </c>
      <c r="BG268" s="91" t="e">
        <f t="shared" ca="1" si="693"/>
        <v>#N/A</v>
      </c>
      <c r="BH268" s="91" t="e">
        <f t="shared" ca="1" si="561"/>
        <v>#N/A</v>
      </c>
      <c r="BI268" s="10" t="e">
        <f t="shared" ca="1" si="707"/>
        <v>#N/A</v>
      </c>
      <c r="BJ268" s="104">
        <f>((M268+Q268)*AJ268+AK268)+((U268-W268+W268/('Vergleich Holz Strom'!$B$8-0.6))*AO268+AP268)</f>
        <v>21.916666666666664</v>
      </c>
      <c r="BK268" s="10" t="e">
        <f t="shared" ca="1" si="646"/>
        <v>#N/A</v>
      </c>
      <c r="BL268" s="379"/>
      <c r="BM268" s="104" t="e">
        <f t="shared" ca="1" si="703"/>
        <v>#N/A</v>
      </c>
      <c r="BN268" s="40" t="e">
        <f ca="1">IF(ISNUMBER(BK268),BN267+SUMIF(BK266:BK277,"&lt;&gt;#NV",BK266:BK277)/COUNTIF(BK266:BK277,"&lt;&gt;#NV"),#N/A)</f>
        <v>#N/A</v>
      </c>
      <c r="BO268" s="10" t="e">
        <f t="shared" ca="1" si="719"/>
        <v>#N/A</v>
      </c>
      <c r="BP268" s="104" t="e">
        <f t="shared" ca="1" si="647"/>
        <v>#N/A</v>
      </c>
      <c r="BQ268" s="104">
        <f t="shared" ca="1" si="667"/>
        <v>-58557.502693575283</v>
      </c>
      <c r="BR268" s="10">
        <f t="shared" si="694"/>
        <v>9.9166666666666661</v>
      </c>
      <c r="BS268" s="311"/>
      <c r="BT268" s="307"/>
      <c r="BU268" s="295">
        <f t="shared" si="695"/>
        <v>0</v>
      </c>
      <c r="BV268" s="323"/>
      <c r="BW268" s="299">
        <f t="shared" si="696"/>
        <v>0</v>
      </c>
      <c r="BX268" s="295">
        <f t="shared" si="697"/>
        <v>0</v>
      </c>
      <c r="BY268" s="382"/>
      <c r="BZ268" s="299">
        <f t="shared" si="704"/>
        <v>0</v>
      </c>
      <c r="CA268" s="295">
        <f t="shared" si="708"/>
        <v>0</v>
      </c>
      <c r="CB268" s="323"/>
      <c r="CC268" s="314">
        <f t="shared" ref="CC268:CC278" si="731">Q268/AQ268*100+BS268/AQ268*100</f>
        <v>0</v>
      </c>
      <c r="CD268" s="326"/>
      <c r="CE268" s="299">
        <f t="shared" si="698"/>
        <v>0</v>
      </c>
      <c r="CF268" s="284">
        <f t="shared" ref="CF268:CF278" si="732">CE268-CA268</f>
        <v>0</v>
      </c>
      <c r="CG268" s="323"/>
      <c r="CH268" s="302">
        <f t="shared" ref="CH268:CH301" si="733">CH267+CF268</f>
        <v>0</v>
      </c>
      <c r="CI268" s="108">
        <f t="shared" si="699"/>
        <v>0</v>
      </c>
      <c r="CJ268" s="200">
        <f t="shared" si="700"/>
        <v>0</v>
      </c>
      <c r="CK268" s="197">
        <f t="shared" si="714"/>
        <v>0</v>
      </c>
      <c r="CL268" s="203">
        <f t="shared" si="701"/>
        <v>12</v>
      </c>
      <c r="CM268" s="4">
        <f>U268*Jahresdaten!$AD$2</f>
        <v>0</v>
      </c>
      <c r="CN268" s="112">
        <f>CJ268*Jahresdaten!$AD$2</f>
        <v>0</v>
      </c>
      <c r="CO268" s="366"/>
      <c r="CP268" s="116">
        <f>U268*Jahresdaten!$AD$3</f>
        <v>0</v>
      </c>
      <c r="CQ268" s="12">
        <f>CJ268*Jahresdaten!$AD$3</f>
        <v>0</v>
      </c>
      <c r="CR268" s="353"/>
      <c r="CS268" s="14"/>
      <c r="CT268" s="136"/>
      <c r="CU268" s="140" t="str">
        <f>IF(CT268=0,"",CT268*'Vergleich Holz Strom'!$B$2)</f>
        <v/>
      </c>
      <c r="CV268" s="353"/>
      <c r="CW268" s="366"/>
      <c r="CX268" s="345"/>
      <c r="CY268" s="345"/>
      <c r="CZ268" s="345"/>
      <c r="DA268" s="348"/>
      <c r="DB268" s="94"/>
      <c r="DC268" s="88">
        <f t="shared" si="632"/>
        <v>45173.761333333416</v>
      </c>
      <c r="DD268" s="94"/>
      <c r="DE268" s="88">
        <f t="shared" si="634"/>
        <v>-35574.112546999997</v>
      </c>
      <c r="DF268" s="100" t="e">
        <f ca="1">BE268+(SUM(CS266:CS277)/12)</f>
        <v>#N/A</v>
      </c>
      <c r="DG268" s="351"/>
      <c r="DH268" s="8">
        <f t="shared" si="724"/>
        <v>0</v>
      </c>
      <c r="DI268" s="123">
        <f t="shared" si="648"/>
        <v>5300</v>
      </c>
      <c r="DJ268" s="2">
        <f t="shared" si="725"/>
        <v>0</v>
      </c>
      <c r="DK268" s="127">
        <f>DK277/12*3</f>
        <v>1950</v>
      </c>
      <c r="DL268" s="2">
        <f t="shared" si="618"/>
        <v>650</v>
      </c>
      <c r="DM268" s="130">
        <f t="shared" si="726"/>
        <v>0</v>
      </c>
      <c r="DN268" s="3">
        <f>DN277/12*3</f>
        <v>750</v>
      </c>
      <c r="DO268" s="130">
        <f t="shared" si="620"/>
        <v>250</v>
      </c>
      <c r="DP268" s="4">
        <f t="shared" si="727"/>
        <v>0</v>
      </c>
      <c r="DQ268" s="116">
        <f t="shared" si="728"/>
        <v>2600</v>
      </c>
      <c r="DR268" s="116">
        <f t="shared" ref="DR268:DR276" si="734">DR256</f>
        <v>850.00000000000011</v>
      </c>
    </row>
    <row r="269" spans="1:122" ht="14.25" customHeight="1" thickBot="1" x14ac:dyDescent="0.2">
      <c r="A269" s="416"/>
      <c r="B269" s="16">
        <v>51502</v>
      </c>
      <c r="C269" s="207">
        <f>'PV-Felder'!$I$2</f>
        <v>660.80000000000007</v>
      </c>
      <c r="D269" s="351"/>
      <c r="E269" s="61">
        <v>0</v>
      </c>
      <c r="F269" s="351"/>
      <c r="G269" s="56" t="e">
        <f t="shared" ca="1" si="686"/>
        <v>#N/A</v>
      </c>
      <c r="H269" s="351"/>
      <c r="I269" s="61">
        <v>0</v>
      </c>
      <c r="J269" s="351"/>
      <c r="K269" s="61">
        <v>0</v>
      </c>
      <c r="L269" s="351"/>
      <c r="M269" s="65">
        <f t="shared" si="705"/>
        <v>0</v>
      </c>
      <c r="N269" s="373"/>
      <c r="O269" s="288"/>
      <c r="P269" s="288"/>
      <c r="Q269" s="286">
        <f t="shared" si="687"/>
        <v>0</v>
      </c>
      <c r="R269" s="334"/>
      <c r="S269" s="61">
        <v>0</v>
      </c>
      <c r="T269" s="376"/>
      <c r="U269" s="61">
        <v>0</v>
      </c>
      <c r="V269" s="342"/>
      <c r="W269" s="61">
        <v>0</v>
      </c>
      <c r="X269" s="342"/>
      <c r="Y269" s="211" t="e">
        <f t="shared" si="612"/>
        <v>#N/A</v>
      </c>
      <c r="Z269" s="370"/>
      <c r="AA269" s="61">
        <v>0</v>
      </c>
      <c r="AB269" s="351"/>
      <c r="AC269" s="61">
        <v>0</v>
      </c>
      <c r="AD269" s="351"/>
      <c r="AE269" s="73" t="e">
        <f t="shared" si="642"/>
        <v>#N/A</v>
      </c>
      <c r="AF269" s="356"/>
      <c r="AG269" s="73" t="e">
        <f t="shared" si="643"/>
        <v>#N/A</v>
      </c>
      <c r="AH269" s="356"/>
      <c r="AI269" s="221">
        <f t="shared" si="729"/>
        <v>29.26</v>
      </c>
      <c r="AJ269" s="78">
        <f t="shared" ref="AJ269:AP269" si="735">AJ268</f>
        <v>0.26750000000000002</v>
      </c>
      <c r="AK269" s="79">
        <f t="shared" si="735"/>
        <v>9.9166666666666661</v>
      </c>
      <c r="AL269" s="80">
        <f t="shared" si="735"/>
        <v>187</v>
      </c>
      <c r="AM269" s="78">
        <f t="shared" si="735"/>
        <v>9.737942583732058E-2</v>
      </c>
      <c r="AN269" s="80">
        <f t="shared" si="735"/>
        <v>143</v>
      </c>
      <c r="AO269" s="78">
        <f t="shared" si="735"/>
        <v>0.21099999999999999</v>
      </c>
      <c r="AP269" s="88">
        <f t="shared" si="735"/>
        <v>12</v>
      </c>
      <c r="AQ269" s="64">
        <f t="shared" si="710"/>
        <v>21.5</v>
      </c>
      <c r="AR269" s="64">
        <f t="shared" si="711"/>
        <v>11.5</v>
      </c>
      <c r="AS269" s="88">
        <f t="shared" si="712"/>
        <v>1.1830000000000001</v>
      </c>
      <c r="AT269" s="91">
        <f t="shared" si="718"/>
        <v>0</v>
      </c>
      <c r="AU269" s="94"/>
      <c r="AV269" s="95"/>
      <c r="AW269" s="56">
        <f t="shared" si="689"/>
        <v>0</v>
      </c>
      <c r="AX269" s="351"/>
      <c r="AY269" s="100">
        <f t="shared" si="716"/>
        <v>9.9166666666666661</v>
      </c>
      <c r="AZ269" s="360"/>
      <c r="BA269" s="91">
        <f t="shared" si="723"/>
        <v>-2582.9458803333314</v>
      </c>
      <c r="BB269" s="5">
        <f t="shared" si="645"/>
        <v>-9.9166666666666661</v>
      </c>
      <c r="BC269" s="363"/>
      <c r="BD269" s="91" t="e">
        <f t="shared" ca="1" si="690"/>
        <v>#N/A</v>
      </c>
      <c r="BE269" s="91" t="e">
        <f t="shared" ca="1" si="691"/>
        <v>#N/A</v>
      </c>
      <c r="BF269" s="91">
        <f t="shared" si="692"/>
        <v>31.833333333333329</v>
      </c>
      <c r="BG269" s="91" t="e">
        <f t="shared" ca="1" si="693"/>
        <v>#N/A</v>
      </c>
      <c r="BH269" s="91" t="e">
        <f t="shared" ca="1" si="561"/>
        <v>#N/A</v>
      </c>
      <c r="BI269" s="10" t="e">
        <f t="shared" ca="1" si="707"/>
        <v>#N/A</v>
      </c>
      <c r="BJ269" s="104">
        <f>((M269+Q269)*AJ269+AK269)+((U269-W269+W269/('Vergleich Holz Strom'!$B$8-0.6))*AO269+AP269)</f>
        <v>21.916666666666664</v>
      </c>
      <c r="BK269" s="10" t="e">
        <f t="shared" ca="1" si="646"/>
        <v>#N/A</v>
      </c>
      <c r="BL269" s="379"/>
      <c r="BM269" s="104" t="e">
        <f t="shared" ca="1" si="703"/>
        <v>#N/A</v>
      </c>
      <c r="BN269" s="40" t="e">
        <f ca="1">IF(ISNUMBER(BK269),BN268+SUMIF(BK266:BK277,"&lt;&gt;#NV",BK266:BK277)/COUNTIF(BK266:BK277,"&lt;&gt;#NV"),#N/A)</f>
        <v>#N/A</v>
      </c>
      <c r="BO269" s="10" t="e">
        <f t="shared" ca="1" si="719"/>
        <v>#N/A</v>
      </c>
      <c r="BP269" s="104" t="e">
        <f t="shared" ca="1" si="647"/>
        <v>#N/A</v>
      </c>
      <c r="BQ269" s="104">
        <f t="shared" ca="1" si="667"/>
        <v>-58545.502693575283</v>
      </c>
      <c r="BR269" s="10">
        <f t="shared" si="694"/>
        <v>9.9166666666666661</v>
      </c>
      <c r="BS269" s="311"/>
      <c r="BT269" s="307"/>
      <c r="BU269" s="295">
        <f t="shared" si="695"/>
        <v>0</v>
      </c>
      <c r="BV269" s="323"/>
      <c r="BW269" s="299">
        <f t="shared" si="696"/>
        <v>0</v>
      </c>
      <c r="BX269" s="295">
        <f t="shared" si="697"/>
        <v>0</v>
      </c>
      <c r="BY269" s="382"/>
      <c r="BZ269" s="299">
        <f t="shared" si="704"/>
        <v>0</v>
      </c>
      <c r="CA269" s="295">
        <f t="shared" si="708"/>
        <v>0</v>
      </c>
      <c r="CB269" s="323"/>
      <c r="CC269" s="314">
        <f t="shared" si="731"/>
        <v>0</v>
      </c>
      <c r="CD269" s="326"/>
      <c r="CE269" s="299">
        <f t="shared" si="698"/>
        <v>0</v>
      </c>
      <c r="CF269" s="284">
        <f t="shared" si="732"/>
        <v>0</v>
      </c>
      <c r="CG269" s="323"/>
      <c r="CH269" s="302">
        <f t="shared" si="733"/>
        <v>0</v>
      </c>
      <c r="CI269" s="108">
        <f t="shared" si="699"/>
        <v>0</v>
      </c>
      <c r="CJ269" s="200">
        <f t="shared" si="700"/>
        <v>0</v>
      </c>
      <c r="CK269" s="197">
        <f t="shared" si="714"/>
        <v>0</v>
      </c>
      <c r="CL269" s="203">
        <f t="shared" si="701"/>
        <v>12</v>
      </c>
      <c r="CM269" s="4">
        <f>U269*Jahresdaten!$AD$2</f>
        <v>0</v>
      </c>
      <c r="CN269" s="112">
        <f>CJ269*Jahresdaten!$AD$2</f>
        <v>0</v>
      </c>
      <c r="CO269" s="366"/>
      <c r="CP269" s="116">
        <f>U269*Jahresdaten!$AD$3</f>
        <v>0</v>
      </c>
      <c r="CQ269" s="12">
        <f>CJ269*Jahresdaten!$AD$3</f>
        <v>0</v>
      </c>
      <c r="CR269" s="353"/>
      <c r="CS269" s="14"/>
      <c r="CT269" s="136"/>
      <c r="CU269" s="140" t="str">
        <f>IF(CT269=0,"",CT269*'Vergleich Holz Strom'!$B$2)</f>
        <v/>
      </c>
      <c r="CV269" s="353"/>
      <c r="CW269" s="366"/>
      <c r="CX269" s="345"/>
      <c r="CY269" s="345"/>
      <c r="CZ269" s="345"/>
      <c r="DA269" s="348"/>
      <c r="DB269" s="94"/>
      <c r="DC269" s="88">
        <f t="shared" si="632"/>
        <v>45350.844666666751</v>
      </c>
      <c r="DD269" s="94"/>
      <c r="DE269" s="88">
        <f t="shared" si="634"/>
        <v>-35717.112546999997</v>
      </c>
      <c r="DF269" s="100" t="e">
        <f ca="1">BE269+(SUM(CS266:CS277)/12)</f>
        <v>#N/A</v>
      </c>
      <c r="DG269" s="351"/>
      <c r="DH269" s="8">
        <f t="shared" si="724"/>
        <v>0</v>
      </c>
      <c r="DI269" s="123">
        <f t="shared" si="648"/>
        <v>7350</v>
      </c>
      <c r="DJ269" s="2">
        <f t="shared" si="725"/>
        <v>0</v>
      </c>
      <c r="DK269" s="127">
        <f>DK277/12*4</f>
        <v>2600</v>
      </c>
      <c r="DL269" s="2">
        <f t="shared" si="618"/>
        <v>650</v>
      </c>
      <c r="DM269" s="130">
        <f t="shared" si="726"/>
        <v>0</v>
      </c>
      <c r="DN269" s="3">
        <f>DN277/12*4</f>
        <v>1000</v>
      </c>
      <c r="DO269" s="130">
        <f t="shared" si="620"/>
        <v>250</v>
      </c>
      <c r="DP269" s="4">
        <f t="shared" si="727"/>
        <v>0</v>
      </c>
      <c r="DQ269" s="116">
        <f t="shared" si="728"/>
        <v>3750</v>
      </c>
      <c r="DR269" s="116">
        <f t="shared" si="734"/>
        <v>1150</v>
      </c>
    </row>
    <row r="270" spans="1:122" ht="14.25" customHeight="1" thickBot="1" x14ac:dyDescent="0.2">
      <c r="A270" s="416"/>
      <c r="B270" s="16">
        <v>51533</v>
      </c>
      <c r="C270" s="207">
        <f>'PV-Felder'!$I$3</f>
        <v>922.2</v>
      </c>
      <c r="D270" s="351"/>
      <c r="E270" s="61">
        <v>0</v>
      </c>
      <c r="F270" s="351"/>
      <c r="G270" s="56" t="e">
        <f t="shared" ca="1" si="686"/>
        <v>#N/A</v>
      </c>
      <c r="H270" s="351"/>
      <c r="I270" s="61">
        <v>0</v>
      </c>
      <c r="J270" s="351"/>
      <c r="K270" s="61">
        <v>0</v>
      </c>
      <c r="L270" s="351"/>
      <c r="M270" s="65">
        <f t="shared" si="705"/>
        <v>0</v>
      </c>
      <c r="N270" s="373"/>
      <c r="O270" s="288"/>
      <c r="P270" s="288"/>
      <c r="Q270" s="286">
        <f t="shared" si="687"/>
        <v>0</v>
      </c>
      <c r="R270" s="334"/>
      <c r="S270" s="61">
        <v>0</v>
      </c>
      <c r="T270" s="376"/>
      <c r="U270" s="61">
        <v>0</v>
      </c>
      <c r="V270" s="342"/>
      <c r="W270" s="61">
        <v>0</v>
      </c>
      <c r="X270" s="342"/>
      <c r="Y270" s="211" t="e">
        <f t="shared" si="612"/>
        <v>#N/A</v>
      </c>
      <c r="Z270" s="370"/>
      <c r="AA270" s="61">
        <v>0</v>
      </c>
      <c r="AB270" s="351"/>
      <c r="AC270" s="61">
        <v>0</v>
      </c>
      <c r="AD270" s="351"/>
      <c r="AE270" s="73" t="e">
        <f t="shared" si="642"/>
        <v>#N/A</v>
      </c>
      <c r="AF270" s="356"/>
      <c r="AG270" s="73" t="e">
        <f t="shared" si="643"/>
        <v>#N/A</v>
      </c>
      <c r="AH270" s="356"/>
      <c r="AI270" s="221">
        <f t="shared" si="729"/>
        <v>29.26</v>
      </c>
      <c r="AJ270" s="78">
        <f t="shared" ref="AJ270:AP270" si="736">AJ269</f>
        <v>0.26750000000000002</v>
      </c>
      <c r="AK270" s="79">
        <f t="shared" si="736"/>
        <v>9.9166666666666661</v>
      </c>
      <c r="AL270" s="80">
        <f t="shared" si="736"/>
        <v>187</v>
      </c>
      <c r="AM270" s="78">
        <f t="shared" si="736"/>
        <v>9.737942583732058E-2</v>
      </c>
      <c r="AN270" s="80">
        <f t="shared" si="736"/>
        <v>143</v>
      </c>
      <c r="AO270" s="78">
        <f t="shared" si="736"/>
        <v>0.21099999999999999</v>
      </c>
      <c r="AP270" s="88">
        <f t="shared" si="736"/>
        <v>12</v>
      </c>
      <c r="AQ270" s="64">
        <f t="shared" si="710"/>
        <v>21.5</v>
      </c>
      <c r="AR270" s="64">
        <f t="shared" si="711"/>
        <v>11.5</v>
      </c>
      <c r="AS270" s="88">
        <f t="shared" si="712"/>
        <v>1.1830000000000001</v>
      </c>
      <c r="AT270" s="91">
        <f t="shared" si="718"/>
        <v>0</v>
      </c>
      <c r="AU270" s="94"/>
      <c r="AV270" s="95"/>
      <c r="AW270" s="56">
        <f t="shared" si="689"/>
        <v>0</v>
      </c>
      <c r="AX270" s="351"/>
      <c r="AY270" s="100">
        <f t="shared" si="716"/>
        <v>9.9166666666666661</v>
      </c>
      <c r="AZ270" s="360"/>
      <c r="BA270" s="91">
        <f t="shared" si="723"/>
        <v>-2592.8625469999979</v>
      </c>
      <c r="BB270" s="5">
        <f t="shared" si="645"/>
        <v>-9.9166666666666661</v>
      </c>
      <c r="BC270" s="363"/>
      <c r="BD270" s="91" t="e">
        <f t="shared" ca="1" si="690"/>
        <v>#N/A</v>
      </c>
      <c r="BE270" s="91" t="e">
        <f t="shared" ca="1" si="691"/>
        <v>#N/A</v>
      </c>
      <c r="BF270" s="91">
        <f t="shared" si="692"/>
        <v>31.833333333333329</v>
      </c>
      <c r="BG270" s="91" t="e">
        <f t="shared" ca="1" si="693"/>
        <v>#N/A</v>
      </c>
      <c r="BH270" s="91" t="e">
        <f t="shared" ref="BH270:BH301" ca="1" si="737">BF270-BE270</f>
        <v>#N/A</v>
      </c>
      <c r="BI270" s="10" t="e">
        <f t="shared" ca="1" si="707"/>
        <v>#N/A</v>
      </c>
      <c r="BJ270" s="104">
        <f>((M270+Q270)*AJ270+AK270)+((U270-W270+W270/('Vergleich Holz Strom'!$B$8-0.6))*AO270+AP270)</f>
        <v>21.916666666666664</v>
      </c>
      <c r="BK270" s="10" t="e">
        <f t="shared" ca="1" si="646"/>
        <v>#N/A</v>
      </c>
      <c r="BL270" s="379"/>
      <c r="BM270" s="104" t="e">
        <f t="shared" ca="1" si="703"/>
        <v>#N/A</v>
      </c>
      <c r="BN270" s="40" t="e">
        <f ca="1">IF(ISNUMBER(BK270),BN269+SUMIF(BK266:BK277,"&lt;&gt;#NV",BK266:BK277)/COUNTIF(BK266:BK277,"&lt;&gt;#NV"),#N/A)</f>
        <v>#N/A</v>
      </c>
      <c r="BO270" s="10" t="e">
        <f t="shared" ca="1" si="719"/>
        <v>#N/A</v>
      </c>
      <c r="BP270" s="104" t="e">
        <f t="shared" ca="1" si="647"/>
        <v>#N/A</v>
      </c>
      <c r="BQ270" s="104">
        <f t="shared" ca="1" si="667"/>
        <v>-58526.302693575286</v>
      </c>
      <c r="BR270" s="10">
        <f t="shared" si="694"/>
        <v>9.9166666666666661</v>
      </c>
      <c r="BS270" s="311"/>
      <c r="BT270" s="307"/>
      <c r="BU270" s="295">
        <f t="shared" si="695"/>
        <v>0</v>
      </c>
      <c r="BV270" s="323"/>
      <c r="BW270" s="299">
        <f t="shared" si="696"/>
        <v>0</v>
      </c>
      <c r="BX270" s="295">
        <f t="shared" si="697"/>
        <v>0</v>
      </c>
      <c r="BY270" s="382"/>
      <c r="BZ270" s="299">
        <f t="shared" si="704"/>
        <v>0</v>
      </c>
      <c r="CA270" s="295">
        <f t="shared" si="708"/>
        <v>0</v>
      </c>
      <c r="CB270" s="323"/>
      <c r="CC270" s="314">
        <f t="shared" si="731"/>
        <v>0</v>
      </c>
      <c r="CD270" s="326"/>
      <c r="CE270" s="299">
        <f t="shared" si="698"/>
        <v>0</v>
      </c>
      <c r="CF270" s="284">
        <f t="shared" si="732"/>
        <v>0</v>
      </c>
      <c r="CG270" s="323"/>
      <c r="CH270" s="302">
        <f t="shared" si="733"/>
        <v>0</v>
      </c>
      <c r="CI270" s="108">
        <f t="shared" si="699"/>
        <v>0</v>
      </c>
      <c r="CJ270" s="200">
        <f t="shared" si="700"/>
        <v>0</v>
      </c>
      <c r="CK270" s="197">
        <f t="shared" si="714"/>
        <v>0</v>
      </c>
      <c r="CL270" s="203">
        <f t="shared" si="701"/>
        <v>12</v>
      </c>
      <c r="CM270" s="4">
        <f>U270*Jahresdaten!$AD$2</f>
        <v>0</v>
      </c>
      <c r="CN270" s="112">
        <f>CJ270*Jahresdaten!$AD$2</f>
        <v>0</v>
      </c>
      <c r="CO270" s="366"/>
      <c r="CP270" s="116">
        <f>U270*Jahresdaten!$AD$3</f>
        <v>0</v>
      </c>
      <c r="CQ270" s="12">
        <f>CJ270*Jahresdaten!$AD$3</f>
        <v>0</v>
      </c>
      <c r="CR270" s="353"/>
      <c r="CS270" s="14"/>
      <c r="CT270" s="136"/>
      <c r="CU270" s="140" t="str">
        <f>IF(CT270=0,"",CT270*'Vergleich Holz Strom'!$B$2)</f>
        <v/>
      </c>
      <c r="CV270" s="353"/>
      <c r="CW270" s="366"/>
      <c r="CX270" s="345"/>
      <c r="CY270" s="345"/>
      <c r="CZ270" s="345"/>
      <c r="DA270" s="348"/>
      <c r="DB270" s="94"/>
      <c r="DC270" s="88">
        <f t="shared" si="632"/>
        <v>45527.928000000087</v>
      </c>
      <c r="DD270" s="94"/>
      <c r="DE270" s="88">
        <f t="shared" si="634"/>
        <v>-35860.112546999997</v>
      </c>
      <c r="DF270" s="100" t="e">
        <f ca="1">BE270+(SUM(CS266:CS277)/12)</f>
        <v>#N/A</v>
      </c>
      <c r="DG270" s="351"/>
      <c r="DH270" s="8">
        <f t="shared" si="724"/>
        <v>0</v>
      </c>
      <c r="DI270" s="123">
        <f t="shared" si="648"/>
        <v>9600</v>
      </c>
      <c r="DJ270" s="2">
        <f t="shared" si="725"/>
        <v>0</v>
      </c>
      <c r="DK270" s="127">
        <f>DK277/12*5</f>
        <v>3250</v>
      </c>
      <c r="DL270" s="2">
        <f t="shared" si="618"/>
        <v>650</v>
      </c>
      <c r="DM270" s="130">
        <f t="shared" si="726"/>
        <v>0</v>
      </c>
      <c r="DN270" s="3">
        <f>DN277/12*5</f>
        <v>1250</v>
      </c>
      <c r="DO270" s="130">
        <f t="shared" si="620"/>
        <v>250</v>
      </c>
      <c r="DP270" s="4">
        <f t="shared" si="727"/>
        <v>0</v>
      </c>
      <c r="DQ270" s="116">
        <f t="shared" si="728"/>
        <v>5100</v>
      </c>
      <c r="DR270" s="116">
        <f t="shared" si="734"/>
        <v>1350</v>
      </c>
    </row>
    <row r="271" spans="1:122" ht="14.25" customHeight="1" thickBot="1" x14ac:dyDescent="0.2">
      <c r="A271" s="416"/>
      <c r="B271" s="16">
        <v>51561</v>
      </c>
      <c r="C271" s="207">
        <f>'PV-Felder'!$I$4</f>
        <v>1860</v>
      </c>
      <c r="D271" s="351"/>
      <c r="E271" s="61">
        <v>0</v>
      </c>
      <c r="F271" s="351"/>
      <c r="G271" s="56" t="e">
        <f t="shared" ca="1" si="686"/>
        <v>#N/A</v>
      </c>
      <c r="H271" s="351"/>
      <c r="I271" s="61">
        <v>0</v>
      </c>
      <c r="J271" s="351"/>
      <c r="K271" s="61">
        <v>0</v>
      </c>
      <c r="L271" s="351"/>
      <c r="M271" s="65">
        <f t="shared" si="705"/>
        <v>0</v>
      </c>
      <c r="N271" s="373"/>
      <c r="O271" s="288"/>
      <c r="P271" s="288"/>
      <c r="Q271" s="286">
        <f t="shared" si="687"/>
        <v>0</v>
      </c>
      <c r="R271" s="334"/>
      <c r="S271" s="61">
        <v>0</v>
      </c>
      <c r="T271" s="376"/>
      <c r="U271" s="61">
        <v>0</v>
      </c>
      <c r="V271" s="342"/>
      <c r="W271" s="61">
        <v>0</v>
      </c>
      <c r="X271" s="342"/>
      <c r="Y271" s="211" t="e">
        <f t="shared" si="612"/>
        <v>#N/A</v>
      </c>
      <c r="Z271" s="370"/>
      <c r="AA271" s="61">
        <v>0</v>
      </c>
      <c r="AB271" s="351"/>
      <c r="AC271" s="61">
        <v>0</v>
      </c>
      <c r="AD271" s="351"/>
      <c r="AE271" s="73" t="e">
        <f t="shared" si="642"/>
        <v>#N/A</v>
      </c>
      <c r="AF271" s="356"/>
      <c r="AG271" s="73" t="e">
        <f t="shared" si="643"/>
        <v>#N/A</v>
      </c>
      <c r="AH271" s="356"/>
      <c r="AI271" s="221">
        <f t="shared" si="729"/>
        <v>29.26</v>
      </c>
      <c r="AJ271" s="78">
        <f t="shared" ref="AJ271:AP271" si="738">AJ270</f>
        <v>0.26750000000000002</v>
      </c>
      <c r="AK271" s="79">
        <f t="shared" si="738"/>
        <v>9.9166666666666661</v>
      </c>
      <c r="AL271" s="80">
        <f t="shared" si="738"/>
        <v>187</v>
      </c>
      <c r="AM271" s="78">
        <f t="shared" si="738"/>
        <v>9.737942583732058E-2</v>
      </c>
      <c r="AN271" s="80">
        <f t="shared" si="738"/>
        <v>143</v>
      </c>
      <c r="AO271" s="78">
        <f t="shared" si="738"/>
        <v>0.21099999999999999</v>
      </c>
      <c r="AP271" s="88">
        <f t="shared" si="738"/>
        <v>12</v>
      </c>
      <c r="AQ271" s="64">
        <f t="shared" si="710"/>
        <v>21.5</v>
      </c>
      <c r="AR271" s="64">
        <f t="shared" si="711"/>
        <v>11.5</v>
      </c>
      <c r="AS271" s="88">
        <f t="shared" si="712"/>
        <v>1.1830000000000001</v>
      </c>
      <c r="AT271" s="91">
        <f t="shared" si="718"/>
        <v>0</v>
      </c>
      <c r="AU271" s="94"/>
      <c r="AV271" s="95"/>
      <c r="AW271" s="56">
        <f t="shared" si="689"/>
        <v>0</v>
      </c>
      <c r="AX271" s="351"/>
      <c r="AY271" s="100">
        <f t="shared" si="716"/>
        <v>9.9166666666666661</v>
      </c>
      <c r="AZ271" s="360"/>
      <c r="BA271" s="91">
        <f t="shared" si="723"/>
        <v>-2602.7792136666644</v>
      </c>
      <c r="BB271" s="5">
        <f t="shared" si="645"/>
        <v>-9.9166666666666661</v>
      </c>
      <c r="BC271" s="363"/>
      <c r="BD271" s="91" t="e">
        <f t="shared" ca="1" si="690"/>
        <v>#N/A</v>
      </c>
      <c r="BE271" s="91" t="e">
        <f t="shared" ca="1" si="691"/>
        <v>#N/A</v>
      </c>
      <c r="BF271" s="91">
        <f t="shared" si="692"/>
        <v>31.833333333333329</v>
      </c>
      <c r="BG271" s="91" t="e">
        <f t="shared" ca="1" si="693"/>
        <v>#N/A</v>
      </c>
      <c r="BH271" s="91" t="e">
        <f t="shared" ca="1" si="737"/>
        <v>#N/A</v>
      </c>
      <c r="BI271" s="10" t="e">
        <f t="shared" ca="1" si="707"/>
        <v>#N/A</v>
      </c>
      <c r="BJ271" s="104">
        <f>((M271+Q271)*AJ271+AK271)+((U271-W271+W271/('Vergleich Holz Strom'!$B$8-0.6))*AO271+AP271)</f>
        <v>21.916666666666664</v>
      </c>
      <c r="BK271" s="10" t="e">
        <f t="shared" ca="1" si="646"/>
        <v>#N/A</v>
      </c>
      <c r="BL271" s="379"/>
      <c r="BM271" s="104" t="e">
        <f t="shared" ca="1" si="703"/>
        <v>#N/A</v>
      </c>
      <c r="BN271" s="40" t="e">
        <f ca="1">IF(ISNUMBER(BK271),BN270+SUMIF(BK266:BK277,"&lt;&gt;#NV",BK266:BK277)/COUNTIF(BK266:BK277,"&lt;&gt;#NV"),#N/A)</f>
        <v>#N/A</v>
      </c>
      <c r="BO271" s="10" t="e">
        <f t="shared" ca="1" si="719"/>
        <v>#N/A</v>
      </c>
      <c r="BP271" s="104" t="e">
        <f t="shared" ca="1" si="647"/>
        <v>#N/A</v>
      </c>
      <c r="BQ271" s="104">
        <f t="shared" ca="1" si="667"/>
        <v>-58507.102693575289</v>
      </c>
      <c r="BR271" s="10">
        <f t="shared" si="694"/>
        <v>9.9166666666666661</v>
      </c>
      <c r="BS271" s="311"/>
      <c r="BT271" s="307"/>
      <c r="BU271" s="295">
        <f t="shared" si="695"/>
        <v>0</v>
      </c>
      <c r="BV271" s="323"/>
      <c r="BW271" s="299">
        <f t="shared" si="696"/>
        <v>0</v>
      </c>
      <c r="BX271" s="295">
        <f t="shared" si="697"/>
        <v>0</v>
      </c>
      <c r="BY271" s="382"/>
      <c r="BZ271" s="299">
        <f t="shared" si="704"/>
        <v>0</v>
      </c>
      <c r="CA271" s="295">
        <f t="shared" si="708"/>
        <v>0</v>
      </c>
      <c r="CB271" s="323"/>
      <c r="CC271" s="314">
        <f t="shared" si="731"/>
        <v>0</v>
      </c>
      <c r="CD271" s="326"/>
      <c r="CE271" s="299">
        <f t="shared" si="698"/>
        <v>0</v>
      </c>
      <c r="CF271" s="284">
        <f t="shared" si="732"/>
        <v>0</v>
      </c>
      <c r="CG271" s="323"/>
      <c r="CH271" s="302">
        <f t="shared" si="733"/>
        <v>0</v>
      </c>
      <c r="CI271" s="108">
        <f t="shared" si="699"/>
        <v>0</v>
      </c>
      <c r="CJ271" s="200">
        <f t="shared" si="700"/>
        <v>0</v>
      </c>
      <c r="CK271" s="197">
        <f t="shared" si="714"/>
        <v>0</v>
      </c>
      <c r="CL271" s="203">
        <f t="shared" si="701"/>
        <v>12</v>
      </c>
      <c r="CM271" s="4">
        <f>U271*Jahresdaten!$AD$2</f>
        <v>0</v>
      </c>
      <c r="CN271" s="112">
        <f>CJ271*Jahresdaten!$AD$2</f>
        <v>0</v>
      </c>
      <c r="CO271" s="366"/>
      <c r="CP271" s="116">
        <f>U271*Jahresdaten!$AD$3</f>
        <v>0</v>
      </c>
      <c r="CQ271" s="12">
        <f>CJ271*Jahresdaten!$AD$3</f>
        <v>0</v>
      </c>
      <c r="CR271" s="353"/>
      <c r="CS271" s="14"/>
      <c r="CT271" s="136"/>
      <c r="CU271" s="140" t="str">
        <f>IF(CT271=0,"",CT271*'Vergleich Holz Strom'!$B$2)</f>
        <v/>
      </c>
      <c r="CV271" s="353"/>
      <c r="CW271" s="366"/>
      <c r="CX271" s="345"/>
      <c r="CY271" s="345"/>
      <c r="CZ271" s="345"/>
      <c r="DA271" s="348"/>
      <c r="DB271" s="94"/>
      <c r="DC271" s="88">
        <f t="shared" si="632"/>
        <v>45705.011333333423</v>
      </c>
      <c r="DD271" s="94"/>
      <c r="DE271" s="88">
        <f t="shared" si="634"/>
        <v>-36003.112546999997</v>
      </c>
      <c r="DF271" s="100" t="e">
        <f ca="1">BE271+(SUM(CS266:CS277)/12)</f>
        <v>#N/A</v>
      </c>
      <c r="DG271" s="351"/>
      <c r="DH271" s="8">
        <f t="shared" si="724"/>
        <v>0</v>
      </c>
      <c r="DI271" s="123">
        <f t="shared" si="648"/>
        <v>11850</v>
      </c>
      <c r="DJ271" s="2">
        <f t="shared" si="725"/>
        <v>0</v>
      </c>
      <c r="DK271" s="127">
        <f>DK277/12*6</f>
        <v>3900</v>
      </c>
      <c r="DL271" s="2">
        <f t="shared" si="618"/>
        <v>650</v>
      </c>
      <c r="DM271" s="130">
        <f t="shared" si="726"/>
        <v>0</v>
      </c>
      <c r="DN271" s="3">
        <f>DN277/12*6</f>
        <v>1500</v>
      </c>
      <c r="DO271" s="130">
        <f t="shared" si="620"/>
        <v>250</v>
      </c>
      <c r="DP271" s="4">
        <f t="shared" si="727"/>
        <v>0</v>
      </c>
      <c r="DQ271" s="116">
        <f t="shared" si="728"/>
        <v>6450</v>
      </c>
      <c r="DR271" s="116">
        <f t="shared" si="734"/>
        <v>1350</v>
      </c>
    </row>
    <row r="272" spans="1:122" ht="15" customHeight="1" thickBot="1" x14ac:dyDescent="0.2">
      <c r="A272" s="416"/>
      <c r="B272" s="16">
        <v>51592</v>
      </c>
      <c r="C272" s="207">
        <f>'PV-Felder'!$I$5</f>
        <v>2887.3</v>
      </c>
      <c r="D272" s="351"/>
      <c r="E272" s="61">
        <v>0</v>
      </c>
      <c r="F272" s="351"/>
      <c r="G272" s="56" t="e">
        <f t="shared" ca="1" si="686"/>
        <v>#N/A</v>
      </c>
      <c r="H272" s="351"/>
      <c r="I272" s="61">
        <v>0</v>
      </c>
      <c r="J272" s="351"/>
      <c r="K272" s="61">
        <v>0</v>
      </c>
      <c r="L272" s="351"/>
      <c r="M272" s="65">
        <f t="shared" si="705"/>
        <v>0</v>
      </c>
      <c r="N272" s="373"/>
      <c r="O272" s="288"/>
      <c r="P272" s="288"/>
      <c r="Q272" s="286">
        <f t="shared" si="687"/>
        <v>0</v>
      </c>
      <c r="R272" s="334"/>
      <c r="S272" s="61">
        <v>0</v>
      </c>
      <c r="T272" s="376"/>
      <c r="U272" s="61">
        <v>0</v>
      </c>
      <c r="V272" s="342"/>
      <c r="W272" s="61">
        <v>0</v>
      </c>
      <c r="X272" s="342"/>
      <c r="Y272" s="211" t="e">
        <f t="shared" si="612"/>
        <v>#N/A</v>
      </c>
      <c r="Z272" s="370"/>
      <c r="AA272" s="61">
        <v>0</v>
      </c>
      <c r="AB272" s="351"/>
      <c r="AC272" s="61">
        <v>0</v>
      </c>
      <c r="AD272" s="351"/>
      <c r="AE272" s="73" t="e">
        <f t="shared" si="642"/>
        <v>#N/A</v>
      </c>
      <c r="AF272" s="356"/>
      <c r="AG272" s="73" t="e">
        <f t="shared" si="643"/>
        <v>#N/A</v>
      </c>
      <c r="AH272" s="356"/>
      <c r="AI272" s="221">
        <f t="shared" si="729"/>
        <v>29.26</v>
      </c>
      <c r="AJ272" s="78">
        <f t="shared" ref="AJ272:AP272" si="739">AJ271</f>
        <v>0.26750000000000002</v>
      </c>
      <c r="AK272" s="79">
        <f t="shared" si="739"/>
        <v>9.9166666666666661</v>
      </c>
      <c r="AL272" s="80">
        <f t="shared" si="739"/>
        <v>187</v>
      </c>
      <c r="AM272" s="78">
        <f t="shared" si="739"/>
        <v>9.737942583732058E-2</v>
      </c>
      <c r="AN272" s="80">
        <f t="shared" si="739"/>
        <v>143</v>
      </c>
      <c r="AO272" s="78">
        <f t="shared" si="739"/>
        <v>0.21099999999999999</v>
      </c>
      <c r="AP272" s="88">
        <f t="shared" si="739"/>
        <v>12</v>
      </c>
      <c r="AQ272" s="64">
        <f t="shared" si="710"/>
        <v>21.5</v>
      </c>
      <c r="AR272" s="64">
        <f t="shared" si="711"/>
        <v>11.5</v>
      </c>
      <c r="AS272" s="88">
        <f t="shared" si="712"/>
        <v>1.1830000000000001</v>
      </c>
      <c r="AT272" s="91">
        <f t="shared" si="718"/>
        <v>0</v>
      </c>
      <c r="AU272" s="94"/>
      <c r="AV272" s="95"/>
      <c r="AW272" s="56">
        <f t="shared" si="689"/>
        <v>0</v>
      </c>
      <c r="AX272" s="351"/>
      <c r="AY272" s="100">
        <f t="shared" si="716"/>
        <v>9.9166666666666661</v>
      </c>
      <c r="AZ272" s="360"/>
      <c r="BA272" s="91">
        <f t="shared" si="723"/>
        <v>-2612.6958803333309</v>
      </c>
      <c r="BB272" s="5">
        <f t="shared" si="645"/>
        <v>-9.9166666666666661</v>
      </c>
      <c r="BC272" s="363"/>
      <c r="BD272" s="91" t="e">
        <f t="shared" ca="1" si="690"/>
        <v>#N/A</v>
      </c>
      <c r="BE272" s="91" t="e">
        <f t="shared" ca="1" si="691"/>
        <v>#N/A</v>
      </c>
      <c r="BF272" s="91">
        <f t="shared" si="692"/>
        <v>31.833333333333329</v>
      </c>
      <c r="BG272" s="91" t="e">
        <f t="shared" ca="1" si="693"/>
        <v>#N/A</v>
      </c>
      <c r="BH272" s="91" t="e">
        <f t="shared" ca="1" si="737"/>
        <v>#N/A</v>
      </c>
      <c r="BI272" s="10" t="e">
        <f t="shared" ca="1" si="707"/>
        <v>#N/A</v>
      </c>
      <c r="BJ272" s="104">
        <f>((M272+Q272)*AJ272+AK272)+((U272-W272+W272/('Vergleich Holz Strom'!$B$8-0.6))*AO272+AP272)</f>
        <v>21.916666666666664</v>
      </c>
      <c r="BK272" s="10" t="e">
        <f t="shared" ca="1" si="646"/>
        <v>#N/A</v>
      </c>
      <c r="BL272" s="379"/>
      <c r="BM272" s="104" t="e">
        <f t="shared" ca="1" si="703"/>
        <v>#N/A</v>
      </c>
      <c r="BN272" s="40" t="e">
        <f ca="1">IF(ISNUMBER(BK272),BN271+SUMIF(BK266:BK277,"&lt;&gt;#NV",BK266:BK277)/COUNTIF(BK266:BK277,"&lt;&gt;#NV"),#N/A)</f>
        <v>#N/A</v>
      </c>
      <c r="BO272" s="10" t="e">
        <f t="shared" ca="1" si="719"/>
        <v>#N/A</v>
      </c>
      <c r="BP272" s="104" t="e">
        <f t="shared" ca="1" si="647"/>
        <v>#N/A</v>
      </c>
      <c r="BQ272" s="104">
        <f t="shared" ca="1" si="667"/>
        <v>-58487.902693575263</v>
      </c>
      <c r="BR272" s="10">
        <f t="shared" si="694"/>
        <v>9.9166666666666661</v>
      </c>
      <c r="BS272" s="311"/>
      <c r="BT272" s="307"/>
      <c r="BU272" s="295">
        <f t="shared" si="695"/>
        <v>0</v>
      </c>
      <c r="BV272" s="323"/>
      <c r="BW272" s="299">
        <f t="shared" si="696"/>
        <v>0</v>
      </c>
      <c r="BX272" s="295">
        <f t="shared" si="697"/>
        <v>0</v>
      </c>
      <c r="BY272" s="382"/>
      <c r="BZ272" s="299">
        <f t="shared" si="704"/>
        <v>0</v>
      </c>
      <c r="CA272" s="295">
        <f t="shared" si="708"/>
        <v>0</v>
      </c>
      <c r="CB272" s="323"/>
      <c r="CC272" s="314">
        <f t="shared" si="731"/>
        <v>0</v>
      </c>
      <c r="CD272" s="326"/>
      <c r="CE272" s="299">
        <f t="shared" si="698"/>
        <v>0</v>
      </c>
      <c r="CF272" s="284">
        <f t="shared" si="732"/>
        <v>0</v>
      </c>
      <c r="CG272" s="323"/>
      <c r="CH272" s="302">
        <f t="shared" si="733"/>
        <v>0</v>
      </c>
      <c r="CI272" s="108">
        <f t="shared" si="699"/>
        <v>0</v>
      </c>
      <c r="CJ272" s="200">
        <f t="shared" si="700"/>
        <v>0</v>
      </c>
      <c r="CK272" s="197">
        <f t="shared" si="714"/>
        <v>0</v>
      </c>
      <c r="CL272" s="203">
        <f t="shared" si="701"/>
        <v>12</v>
      </c>
      <c r="CM272" s="4">
        <f>U272*Jahresdaten!$AD$2</f>
        <v>0</v>
      </c>
      <c r="CN272" s="112">
        <f>CJ272*Jahresdaten!$AD$2</f>
        <v>0</v>
      </c>
      <c r="CO272" s="366"/>
      <c r="CP272" s="116">
        <f>U272*Jahresdaten!$AD$3</f>
        <v>0</v>
      </c>
      <c r="CQ272" s="12">
        <f>CJ272*Jahresdaten!$AD$3</f>
        <v>0</v>
      </c>
      <c r="CR272" s="353"/>
      <c r="CS272" s="14"/>
      <c r="CT272" s="136"/>
      <c r="CU272" s="140" t="str">
        <f>IF(CT272=0,"",CT272*'Vergleich Holz Strom'!$B$2)</f>
        <v/>
      </c>
      <c r="CV272" s="121" t="s">
        <v>6</v>
      </c>
      <c r="CW272" s="366"/>
      <c r="CX272" s="345"/>
      <c r="CY272" s="345"/>
      <c r="CZ272" s="345"/>
      <c r="DA272" s="348"/>
      <c r="DB272" s="94"/>
      <c r="DC272" s="88">
        <f t="shared" si="632"/>
        <v>45882.094666666759</v>
      </c>
      <c r="DD272" s="94"/>
      <c r="DE272" s="88">
        <f t="shared" si="634"/>
        <v>-36146.112546999997</v>
      </c>
      <c r="DF272" s="100" t="e">
        <f ca="1">BE272+(SUM(CS266:CS277)/12)</f>
        <v>#N/A</v>
      </c>
      <c r="DG272" s="351"/>
      <c r="DH272" s="8">
        <f t="shared" si="724"/>
        <v>0</v>
      </c>
      <c r="DI272" s="123">
        <f t="shared" si="648"/>
        <v>14000</v>
      </c>
      <c r="DJ272" s="2">
        <f t="shared" si="725"/>
        <v>0</v>
      </c>
      <c r="DK272" s="127">
        <f>DK277/12*7</f>
        <v>4550</v>
      </c>
      <c r="DL272" s="2">
        <f t="shared" si="618"/>
        <v>650</v>
      </c>
      <c r="DM272" s="130">
        <f t="shared" si="726"/>
        <v>0</v>
      </c>
      <c r="DN272" s="3">
        <f>DN277/12*7</f>
        <v>1750</v>
      </c>
      <c r="DO272" s="130">
        <f t="shared" si="620"/>
        <v>250</v>
      </c>
      <c r="DP272" s="4">
        <f t="shared" si="727"/>
        <v>0</v>
      </c>
      <c r="DQ272" s="116">
        <f t="shared" si="728"/>
        <v>7700</v>
      </c>
      <c r="DR272" s="116">
        <f t="shared" si="734"/>
        <v>1250</v>
      </c>
    </row>
    <row r="273" spans="1:122" ht="14.25" customHeight="1" thickBot="1" x14ac:dyDescent="0.2">
      <c r="A273" s="416"/>
      <c r="B273" s="16">
        <v>51622</v>
      </c>
      <c r="C273" s="207">
        <f>'PV-Felder'!$I$6</f>
        <v>3391.3999999999996</v>
      </c>
      <c r="D273" s="351"/>
      <c r="E273" s="61">
        <v>0</v>
      </c>
      <c r="F273" s="351"/>
      <c r="G273" s="56" t="e">
        <f t="shared" ca="1" si="686"/>
        <v>#N/A</v>
      </c>
      <c r="H273" s="351"/>
      <c r="I273" s="61">
        <v>0</v>
      </c>
      <c r="J273" s="351"/>
      <c r="K273" s="61">
        <v>0</v>
      </c>
      <c r="L273" s="351"/>
      <c r="M273" s="65">
        <f t="shared" si="705"/>
        <v>0</v>
      </c>
      <c r="N273" s="373"/>
      <c r="O273" s="288"/>
      <c r="P273" s="288"/>
      <c r="Q273" s="286">
        <f t="shared" si="687"/>
        <v>0</v>
      </c>
      <c r="R273" s="334"/>
      <c r="S273" s="61">
        <v>0</v>
      </c>
      <c r="T273" s="376"/>
      <c r="U273" s="61">
        <v>0</v>
      </c>
      <c r="V273" s="342"/>
      <c r="W273" s="61">
        <v>0</v>
      </c>
      <c r="X273" s="342"/>
      <c r="Y273" s="211" t="e">
        <f t="shared" si="612"/>
        <v>#N/A</v>
      </c>
      <c r="Z273" s="370"/>
      <c r="AA273" s="61">
        <v>0</v>
      </c>
      <c r="AB273" s="351"/>
      <c r="AC273" s="61">
        <v>0</v>
      </c>
      <c r="AD273" s="351"/>
      <c r="AE273" s="73" t="e">
        <f t="shared" si="642"/>
        <v>#N/A</v>
      </c>
      <c r="AF273" s="356"/>
      <c r="AG273" s="73" t="e">
        <f t="shared" si="643"/>
        <v>#N/A</v>
      </c>
      <c r="AH273" s="356"/>
      <c r="AI273" s="221">
        <f t="shared" si="729"/>
        <v>29.26</v>
      </c>
      <c r="AJ273" s="78">
        <f t="shared" ref="AJ273:AP273" si="740">AJ272</f>
        <v>0.26750000000000002</v>
      </c>
      <c r="AK273" s="79">
        <f t="shared" si="740"/>
        <v>9.9166666666666661</v>
      </c>
      <c r="AL273" s="80">
        <f t="shared" si="740"/>
        <v>187</v>
      </c>
      <c r="AM273" s="78">
        <f t="shared" si="740"/>
        <v>9.737942583732058E-2</v>
      </c>
      <c r="AN273" s="80">
        <f t="shared" si="740"/>
        <v>143</v>
      </c>
      <c r="AO273" s="78">
        <f t="shared" si="740"/>
        <v>0.21099999999999999</v>
      </c>
      <c r="AP273" s="88">
        <f t="shared" si="740"/>
        <v>12</v>
      </c>
      <c r="AQ273" s="64">
        <f t="shared" si="710"/>
        <v>21.5</v>
      </c>
      <c r="AR273" s="64">
        <f t="shared" si="711"/>
        <v>11.5</v>
      </c>
      <c r="AS273" s="88">
        <f t="shared" si="712"/>
        <v>1.1830000000000001</v>
      </c>
      <c r="AT273" s="91">
        <f t="shared" si="718"/>
        <v>0</v>
      </c>
      <c r="AU273" s="94"/>
      <c r="AV273" s="95"/>
      <c r="AW273" s="56">
        <f t="shared" si="689"/>
        <v>0</v>
      </c>
      <c r="AX273" s="351"/>
      <c r="AY273" s="100">
        <f t="shared" si="716"/>
        <v>9.9166666666666661</v>
      </c>
      <c r="AZ273" s="360"/>
      <c r="BA273" s="91">
        <f t="shared" si="723"/>
        <v>-2622.6125469999974</v>
      </c>
      <c r="BB273" s="5">
        <f t="shared" si="645"/>
        <v>-9.9166666666666661</v>
      </c>
      <c r="BC273" s="363"/>
      <c r="BD273" s="91" t="e">
        <f t="shared" ca="1" si="690"/>
        <v>#N/A</v>
      </c>
      <c r="BE273" s="91" t="e">
        <f t="shared" ca="1" si="691"/>
        <v>#N/A</v>
      </c>
      <c r="BF273" s="91">
        <f t="shared" si="692"/>
        <v>31.833333333333329</v>
      </c>
      <c r="BG273" s="91" t="e">
        <f t="shared" ca="1" si="693"/>
        <v>#N/A</v>
      </c>
      <c r="BH273" s="91" t="e">
        <f t="shared" ca="1" si="737"/>
        <v>#N/A</v>
      </c>
      <c r="BI273" s="10" t="e">
        <f t="shared" ca="1" si="707"/>
        <v>#N/A</v>
      </c>
      <c r="BJ273" s="104">
        <f>((M273+Q273)*AJ273+AK273)+((U273-W273+W273/('Vergleich Holz Strom'!$B$8-0.6))*AO273+AP273)</f>
        <v>21.916666666666664</v>
      </c>
      <c r="BK273" s="10" t="e">
        <f t="shared" ca="1" si="646"/>
        <v>#N/A</v>
      </c>
      <c r="BL273" s="379"/>
      <c r="BM273" s="104" t="e">
        <f t="shared" ca="1" si="703"/>
        <v>#N/A</v>
      </c>
      <c r="BN273" s="40" t="e">
        <f ca="1">IF(ISNUMBER(BK273),BN272+SUMIF(BK266:BK277,"&lt;&gt;#NV",BK266:BK277)/COUNTIF(BK266:BK277,"&lt;&gt;#NV"),#N/A)</f>
        <v>#N/A</v>
      </c>
      <c r="BO273" s="10" t="e">
        <f t="shared" ca="1" si="719"/>
        <v>#N/A</v>
      </c>
      <c r="BP273" s="104" t="e">
        <f t="shared" ca="1" si="647"/>
        <v>#N/A</v>
      </c>
      <c r="BQ273" s="104">
        <f t="shared" ca="1" si="667"/>
        <v>-58468.702693575251</v>
      </c>
      <c r="BR273" s="10">
        <f t="shared" si="694"/>
        <v>9.9166666666666661</v>
      </c>
      <c r="BS273" s="311"/>
      <c r="BT273" s="307"/>
      <c r="BU273" s="295">
        <f t="shared" si="695"/>
        <v>0</v>
      </c>
      <c r="BV273" s="323"/>
      <c r="BW273" s="299">
        <f t="shared" si="696"/>
        <v>0</v>
      </c>
      <c r="BX273" s="295">
        <f t="shared" si="697"/>
        <v>0</v>
      </c>
      <c r="BY273" s="382"/>
      <c r="BZ273" s="299">
        <f t="shared" si="704"/>
        <v>0</v>
      </c>
      <c r="CA273" s="295">
        <f t="shared" si="708"/>
        <v>0</v>
      </c>
      <c r="CB273" s="323"/>
      <c r="CC273" s="314">
        <f t="shared" si="731"/>
        <v>0</v>
      </c>
      <c r="CD273" s="326"/>
      <c r="CE273" s="299">
        <f t="shared" si="698"/>
        <v>0</v>
      </c>
      <c r="CF273" s="284">
        <f t="shared" si="732"/>
        <v>0</v>
      </c>
      <c r="CG273" s="323"/>
      <c r="CH273" s="302">
        <f t="shared" si="733"/>
        <v>0</v>
      </c>
      <c r="CI273" s="108">
        <f t="shared" si="699"/>
        <v>0</v>
      </c>
      <c r="CJ273" s="200">
        <f t="shared" si="700"/>
        <v>0</v>
      </c>
      <c r="CK273" s="197">
        <f t="shared" si="714"/>
        <v>0</v>
      </c>
      <c r="CL273" s="203">
        <f t="shared" si="701"/>
        <v>12</v>
      </c>
      <c r="CM273" s="4">
        <f>U273*Jahresdaten!$AD$2</f>
        <v>0</v>
      </c>
      <c r="CN273" s="112">
        <f>CJ273*Jahresdaten!$AD$2</f>
        <v>0</v>
      </c>
      <c r="CO273" s="366"/>
      <c r="CP273" s="116">
        <f>U273*Jahresdaten!$AD$3</f>
        <v>0</v>
      </c>
      <c r="CQ273" s="12">
        <f>CJ273*Jahresdaten!$AD$3</f>
        <v>0</v>
      </c>
      <c r="CR273" s="353"/>
      <c r="CS273" s="14"/>
      <c r="CT273" s="136"/>
      <c r="CU273" s="140" t="str">
        <f>IF(CT273=0,"",CT273*'Vergleich Holz Strom'!$B$2)</f>
        <v/>
      </c>
      <c r="CV273" s="353">
        <f>SUM(CS266:CS277)</f>
        <v>1169</v>
      </c>
      <c r="CW273" s="366"/>
      <c r="CX273" s="345"/>
      <c r="CY273" s="345"/>
      <c r="CZ273" s="345"/>
      <c r="DA273" s="348"/>
      <c r="DB273" s="94"/>
      <c r="DC273" s="88">
        <f t="shared" si="632"/>
        <v>46059.178000000094</v>
      </c>
      <c r="DD273" s="94"/>
      <c r="DE273" s="88">
        <f t="shared" si="634"/>
        <v>-36289.112546999997</v>
      </c>
      <c r="DF273" s="100" t="e">
        <f ca="1">BE273+(SUM(CS266:CS277)/12)</f>
        <v>#N/A</v>
      </c>
      <c r="DG273" s="351"/>
      <c r="DH273" s="8">
        <f t="shared" si="724"/>
        <v>0</v>
      </c>
      <c r="DI273" s="123">
        <f t="shared" si="648"/>
        <v>16000</v>
      </c>
      <c r="DJ273" s="2">
        <f t="shared" si="725"/>
        <v>0</v>
      </c>
      <c r="DK273" s="127">
        <f>DK277/12*8</f>
        <v>5200</v>
      </c>
      <c r="DL273" s="2">
        <f t="shared" si="618"/>
        <v>650</v>
      </c>
      <c r="DM273" s="130">
        <f t="shared" si="726"/>
        <v>0</v>
      </c>
      <c r="DN273" s="3">
        <f>DN277/12*8</f>
        <v>2000</v>
      </c>
      <c r="DO273" s="130">
        <f t="shared" si="620"/>
        <v>250</v>
      </c>
      <c r="DP273" s="4">
        <f t="shared" si="727"/>
        <v>0</v>
      </c>
      <c r="DQ273" s="116">
        <f t="shared" si="728"/>
        <v>8800</v>
      </c>
      <c r="DR273" s="116">
        <f t="shared" si="734"/>
        <v>1100</v>
      </c>
    </row>
    <row r="274" spans="1:122" ht="14.25" customHeight="1" thickBot="1" x14ac:dyDescent="0.2">
      <c r="A274" s="416"/>
      <c r="B274" s="16">
        <v>51653</v>
      </c>
      <c r="C274" s="207">
        <f>'PV-Felder'!$I$7</f>
        <v>3595.6000000000004</v>
      </c>
      <c r="D274" s="351"/>
      <c r="E274" s="61">
        <v>0</v>
      </c>
      <c r="F274" s="351"/>
      <c r="G274" s="56" t="e">
        <f t="shared" ca="1" si="686"/>
        <v>#N/A</v>
      </c>
      <c r="H274" s="351"/>
      <c r="I274" s="61">
        <v>0</v>
      </c>
      <c r="J274" s="351"/>
      <c r="K274" s="61">
        <v>0</v>
      </c>
      <c r="L274" s="351"/>
      <c r="M274" s="65">
        <f t="shared" si="705"/>
        <v>0</v>
      </c>
      <c r="N274" s="373"/>
      <c r="O274" s="288"/>
      <c r="P274" s="288"/>
      <c r="Q274" s="286">
        <f t="shared" si="687"/>
        <v>0</v>
      </c>
      <c r="R274" s="334"/>
      <c r="S274" s="61">
        <v>0</v>
      </c>
      <c r="T274" s="376"/>
      <c r="U274" s="61">
        <v>0</v>
      </c>
      <c r="V274" s="342"/>
      <c r="W274" s="61">
        <v>0</v>
      </c>
      <c r="X274" s="342"/>
      <c r="Y274" s="211" t="e">
        <f t="shared" si="612"/>
        <v>#N/A</v>
      </c>
      <c r="Z274" s="370"/>
      <c r="AA274" s="61">
        <v>0</v>
      </c>
      <c r="AB274" s="351"/>
      <c r="AC274" s="61">
        <v>0</v>
      </c>
      <c r="AD274" s="351"/>
      <c r="AE274" s="73" t="e">
        <f t="shared" si="642"/>
        <v>#N/A</v>
      </c>
      <c r="AF274" s="356"/>
      <c r="AG274" s="73" t="e">
        <f t="shared" si="643"/>
        <v>#N/A</v>
      </c>
      <c r="AH274" s="356"/>
      <c r="AI274" s="221">
        <f t="shared" si="729"/>
        <v>29.26</v>
      </c>
      <c r="AJ274" s="78">
        <f t="shared" ref="AJ274:AP274" si="741">AJ273</f>
        <v>0.26750000000000002</v>
      </c>
      <c r="AK274" s="79">
        <f t="shared" si="741"/>
        <v>9.9166666666666661</v>
      </c>
      <c r="AL274" s="80">
        <f t="shared" si="741"/>
        <v>187</v>
      </c>
      <c r="AM274" s="78">
        <f t="shared" si="741"/>
        <v>9.737942583732058E-2</v>
      </c>
      <c r="AN274" s="80">
        <f t="shared" si="741"/>
        <v>143</v>
      </c>
      <c r="AO274" s="78">
        <f t="shared" si="741"/>
        <v>0.21099999999999999</v>
      </c>
      <c r="AP274" s="88">
        <f t="shared" si="741"/>
        <v>12</v>
      </c>
      <c r="AQ274" s="64">
        <f t="shared" si="710"/>
        <v>21.5</v>
      </c>
      <c r="AR274" s="64">
        <f t="shared" si="711"/>
        <v>11.5</v>
      </c>
      <c r="AS274" s="88">
        <f t="shared" si="712"/>
        <v>1.1830000000000001</v>
      </c>
      <c r="AT274" s="91">
        <f t="shared" si="718"/>
        <v>0</v>
      </c>
      <c r="AU274" s="94"/>
      <c r="AV274" s="95"/>
      <c r="AW274" s="56">
        <f t="shared" si="689"/>
        <v>0</v>
      </c>
      <c r="AX274" s="351"/>
      <c r="AY274" s="100">
        <f t="shared" si="716"/>
        <v>9.9166666666666661</v>
      </c>
      <c r="AZ274" s="360"/>
      <c r="BA274" s="91">
        <f t="shared" si="723"/>
        <v>-2632.529213666664</v>
      </c>
      <c r="BB274" s="5">
        <f t="shared" si="645"/>
        <v>-9.9166666666666661</v>
      </c>
      <c r="BC274" s="363"/>
      <c r="BD274" s="91" t="e">
        <f t="shared" ca="1" si="690"/>
        <v>#N/A</v>
      </c>
      <c r="BE274" s="91" t="e">
        <f t="shared" ca="1" si="691"/>
        <v>#N/A</v>
      </c>
      <c r="BF274" s="91">
        <f t="shared" si="692"/>
        <v>31.833333333333329</v>
      </c>
      <c r="BG274" s="91" t="e">
        <f t="shared" ca="1" si="693"/>
        <v>#N/A</v>
      </c>
      <c r="BH274" s="91" t="e">
        <f t="shared" ca="1" si="737"/>
        <v>#N/A</v>
      </c>
      <c r="BI274" s="10" t="e">
        <f t="shared" ca="1" si="707"/>
        <v>#N/A</v>
      </c>
      <c r="BJ274" s="104">
        <f>((M274+Q274)*AJ274+AK274)+((U274-W274+W274/('Vergleich Holz Strom'!$B$8-0.6))*AO274+AP274)</f>
        <v>21.916666666666664</v>
      </c>
      <c r="BK274" s="10" t="e">
        <f t="shared" ca="1" si="646"/>
        <v>#N/A</v>
      </c>
      <c r="BL274" s="379"/>
      <c r="BM274" s="104" t="e">
        <f t="shared" ca="1" si="703"/>
        <v>#N/A</v>
      </c>
      <c r="BN274" s="40" t="e">
        <f ca="1">IF(ISNUMBER(BK274),BN273+SUMIF(BK266:BK277,"&lt;&gt;#NV",BK266:BK277)/COUNTIF(BK266:BK277,"&lt;&gt;#NV"),#N/A)</f>
        <v>#N/A</v>
      </c>
      <c r="BO274" s="10" t="e">
        <f t="shared" ca="1" si="719"/>
        <v>#N/A</v>
      </c>
      <c r="BP274" s="104" t="e">
        <f t="shared" ca="1" si="647"/>
        <v>#N/A</v>
      </c>
      <c r="BQ274" s="104">
        <f t="shared" ca="1" si="667"/>
        <v>-58452.502648085145</v>
      </c>
      <c r="BR274" s="10">
        <f t="shared" si="694"/>
        <v>9.9166666666666661</v>
      </c>
      <c r="BS274" s="311"/>
      <c r="BT274" s="307"/>
      <c r="BU274" s="295">
        <f t="shared" si="695"/>
        <v>0</v>
      </c>
      <c r="BV274" s="323"/>
      <c r="BW274" s="299">
        <f t="shared" si="696"/>
        <v>0</v>
      </c>
      <c r="BX274" s="295">
        <f t="shared" si="697"/>
        <v>0</v>
      </c>
      <c r="BY274" s="382"/>
      <c r="BZ274" s="299">
        <f t="shared" si="704"/>
        <v>0</v>
      </c>
      <c r="CA274" s="295">
        <f t="shared" si="708"/>
        <v>0</v>
      </c>
      <c r="CB274" s="323"/>
      <c r="CC274" s="314">
        <f t="shared" si="731"/>
        <v>0</v>
      </c>
      <c r="CD274" s="326"/>
      <c r="CE274" s="299">
        <f t="shared" si="698"/>
        <v>0</v>
      </c>
      <c r="CF274" s="284">
        <f t="shared" si="732"/>
        <v>0</v>
      </c>
      <c r="CG274" s="323"/>
      <c r="CH274" s="302">
        <f t="shared" si="733"/>
        <v>0</v>
      </c>
      <c r="CI274" s="108">
        <f t="shared" si="699"/>
        <v>0</v>
      </c>
      <c r="CJ274" s="200">
        <f t="shared" si="700"/>
        <v>0</v>
      </c>
      <c r="CK274" s="197">
        <f t="shared" si="714"/>
        <v>0</v>
      </c>
      <c r="CL274" s="203">
        <f t="shared" si="701"/>
        <v>12</v>
      </c>
      <c r="CM274" s="4">
        <f>U274*Jahresdaten!$AD$2</f>
        <v>0</v>
      </c>
      <c r="CN274" s="112">
        <f>CJ274*Jahresdaten!$AD$2</f>
        <v>0</v>
      </c>
      <c r="CO274" s="366"/>
      <c r="CP274" s="116">
        <f>U274*Jahresdaten!$AD$3</f>
        <v>0</v>
      </c>
      <c r="CQ274" s="12">
        <f>CJ274*Jahresdaten!$AD$3</f>
        <v>0</v>
      </c>
      <c r="CR274" s="353"/>
      <c r="CS274" s="14"/>
      <c r="CT274" s="136"/>
      <c r="CU274" s="140" t="str">
        <f>IF(CT274=0,"",CT274*'Vergleich Holz Strom'!$B$2)</f>
        <v/>
      </c>
      <c r="CV274" s="353"/>
      <c r="CW274" s="366"/>
      <c r="CX274" s="345"/>
      <c r="CY274" s="345"/>
      <c r="CZ274" s="345"/>
      <c r="DA274" s="348"/>
      <c r="DB274" s="94"/>
      <c r="DC274" s="88">
        <f t="shared" si="632"/>
        <v>46236.26133333343</v>
      </c>
      <c r="DD274" s="94"/>
      <c r="DE274" s="88">
        <f t="shared" si="634"/>
        <v>-36432.112546999997</v>
      </c>
      <c r="DF274" s="100" t="e">
        <f ca="1">BE274+(SUM(CS266:CS277)/12)</f>
        <v>#N/A</v>
      </c>
      <c r="DG274" s="351"/>
      <c r="DH274" s="8">
        <f t="shared" si="724"/>
        <v>0</v>
      </c>
      <c r="DI274" s="123">
        <f t="shared" si="648"/>
        <v>17200</v>
      </c>
      <c r="DJ274" s="2">
        <f t="shared" si="725"/>
        <v>0</v>
      </c>
      <c r="DK274" s="127">
        <f>DK277/12*9</f>
        <v>5850</v>
      </c>
      <c r="DL274" s="2">
        <f t="shared" si="618"/>
        <v>650</v>
      </c>
      <c r="DM274" s="130">
        <f t="shared" si="726"/>
        <v>0</v>
      </c>
      <c r="DN274" s="3">
        <f>DN277/12*9</f>
        <v>2250</v>
      </c>
      <c r="DO274" s="130">
        <f t="shared" si="620"/>
        <v>250</v>
      </c>
      <c r="DP274" s="4">
        <f t="shared" si="727"/>
        <v>0</v>
      </c>
      <c r="DQ274" s="116">
        <f t="shared" si="728"/>
        <v>9100</v>
      </c>
      <c r="DR274" s="116">
        <f t="shared" si="734"/>
        <v>300</v>
      </c>
    </row>
    <row r="275" spans="1:122" ht="14.25" customHeight="1" thickBot="1" x14ac:dyDescent="0.2">
      <c r="A275" s="416"/>
      <c r="B275" s="16">
        <v>51683</v>
      </c>
      <c r="C275" s="207">
        <f>'PV-Felder'!$I$8</f>
        <v>3593.8</v>
      </c>
      <c r="D275" s="351"/>
      <c r="E275" s="61">
        <v>0</v>
      </c>
      <c r="F275" s="351"/>
      <c r="G275" s="56" t="e">
        <f t="shared" ca="1" si="686"/>
        <v>#N/A</v>
      </c>
      <c r="H275" s="351"/>
      <c r="I275" s="61">
        <v>0</v>
      </c>
      <c r="J275" s="351"/>
      <c r="K275" s="61">
        <v>0</v>
      </c>
      <c r="L275" s="351"/>
      <c r="M275" s="65">
        <f t="shared" si="705"/>
        <v>0</v>
      </c>
      <c r="N275" s="373"/>
      <c r="O275" s="288"/>
      <c r="P275" s="288"/>
      <c r="Q275" s="286">
        <f t="shared" si="687"/>
        <v>0</v>
      </c>
      <c r="R275" s="334"/>
      <c r="S275" s="61">
        <v>0</v>
      </c>
      <c r="T275" s="376"/>
      <c r="U275" s="61">
        <v>0</v>
      </c>
      <c r="V275" s="342"/>
      <c r="W275" s="61">
        <v>0</v>
      </c>
      <c r="X275" s="342"/>
      <c r="Y275" s="211" t="e">
        <f t="shared" si="612"/>
        <v>#N/A</v>
      </c>
      <c r="Z275" s="370"/>
      <c r="AA275" s="61">
        <v>0</v>
      </c>
      <c r="AB275" s="351"/>
      <c r="AC275" s="61">
        <v>0</v>
      </c>
      <c r="AD275" s="351"/>
      <c r="AE275" s="73" t="e">
        <f t="shared" si="642"/>
        <v>#N/A</v>
      </c>
      <c r="AF275" s="356"/>
      <c r="AG275" s="73" t="e">
        <f t="shared" si="643"/>
        <v>#N/A</v>
      </c>
      <c r="AH275" s="356"/>
      <c r="AI275" s="221">
        <f t="shared" si="729"/>
        <v>29.26</v>
      </c>
      <c r="AJ275" s="78">
        <f t="shared" ref="AJ275:AP275" si="742">AJ274</f>
        <v>0.26750000000000002</v>
      </c>
      <c r="AK275" s="79">
        <f t="shared" si="742"/>
        <v>9.9166666666666661</v>
      </c>
      <c r="AL275" s="80">
        <f t="shared" si="742"/>
        <v>187</v>
      </c>
      <c r="AM275" s="78">
        <f t="shared" si="742"/>
        <v>9.737942583732058E-2</v>
      </c>
      <c r="AN275" s="80">
        <f t="shared" si="742"/>
        <v>143</v>
      </c>
      <c r="AO275" s="78">
        <f t="shared" si="742"/>
        <v>0.21099999999999999</v>
      </c>
      <c r="AP275" s="88">
        <f t="shared" si="742"/>
        <v>12</v>
      </c>
      <c r="AQ275" s="64">
        <f t="shared" si="710"/>
        <v>21.5</v>
      </c>
      <c r="AR275" s="64">
        <f t="shared" si="711"/>
        <v>11.5</v>
      </c>
      <c r="AS275" s="88">
        <f t="shared" si="712"/>
        <v>1.1830000000000001</v>
      </c>
      <c r="AT275" s="91">
        <f t="shared" si="718"/>
        <v>0</v>
      </c>
      <c r="AU275" s="94"/>
      <c r="AV275" s="95"/>
      <c r="AW275" s="56">
        <f t="shared" si="689"/>
        <v>0</v>
      </c>
      <c r="AX275" s="351"/>
      <c r="AY275" s="100">
        <f t="shared" si="716"/>
        <v>9.9166666666666661</v>
      </c>
      <c r="AZ275" s="360"/>
      <c r="BA275" s="91">
        <f t="shared" si="723"/>
        <v>-2642.4458803333305</v>
      </c>
      <c r="BB275" s="5">
        <f t="shared" si="645"/>
        <v>-9.9166666666666661</v>
      </c>
      <c r="BC275" s="363"/>
      <c r="BD275" s="91" t="e">
        <f t="shared" ca="1" si="690"/>
        <v>#N/A</v>
      </c>
      <c r="BE275" s="91" t="e">
        <f t="shared" ca="1" si="691"/>
        <v>#N/A</v>
      </c>
      <c r="BF275" s="91">
        <f t="shared" si="692"/>
        <v>31.833333333333329</v>
      </c>
      <c r="BG275" s="91" t="e">
        <f t="shared" ca="1" si="693"/>
        <v>#N/A</v>
      </c>
      <c r="BH275" s="91" t="e">
        <f t="shared" ca="1" si="737"/>
        <v>#N/A</v>
      </c>
      <c r="BI275" s="10" t="e">
        <f t="shared" ca="1" si="707"/>
        <v>#N/A</v>
      </c>
      <c r="BJ275" s="104">
        <f>((M275+Q275)*AJ275+AK275)+((U275-W275+W275/('Vergleich Holz Strom'!$B$8-0.6))*AO275+AP275)</f>
        <v>21.916666666666664</v>
      </c>
      <c r="BK275" s="10" t="e">
        <f t="shared" ca="1" si="646"/>
        <v>#N/A</v>
      </c>
      <c r="BL275" s="379"/>
      <c r="BM275" s="104" t="e">
        <f t="shared" ca="1" si="703"/>
        <v>#N/A</v>
      </c>
      <c r="BN275" s="40" t="e">
        <f ca="1">IF(ISNUMBER(BK275),BN274+SUMIF(BK266:BK277,"&lt;&gt;#NV",BK266:BK277)/COUNTIF(BK266:BK277,"&lt;&gt;#NV"),#N/A)</f>
        <v>#N/A</v>
      </c>
      <c r="BO275" s="10" t="e">
        <f ca="1">BK275+AT275+AU275</f>
        <v>#N/A</v>
      </c>
      <c r="BP275" s="104" t="e">
        <f t="shared" ca="1" si="647"/>
        <v>#N/A</v>
      </c>
      <c r="BQ275" s="104">
        <f t="shared" ca="1" si="667"/>
        <v>-58436.302602595038</v>
      </c>
      <c r="BR275" s="10">
        <f t="shared" si="694"/>
        <v>9.9166666666666661</v>
      </c>
      <c r="BS275" s="311"/>
      <c r="BT275" s="307"/>
      <c r="BU275" s="295">
        <f t="shared" si="695"/>
        <v>0</v>
      </c>
      <c r="BV275" s="323"/>
      <c r="BW275" s="299">
        <f t="shared" si="696"/>
        <v>0</v>
      </c>
      <c r="BX275" s="295">
        <f t="shared" si="697"/>
        <v>0</v>
      </c>
      <c r="BY275" s="382"/>
      <c r="BZ275" s="299">
        <f t="shared" si="704"/>
        <v>0</v>
      </c>
      <c r="CA275" s="295">
        <f t="shared" si="708"/>
        <v>0</v>
      </c>
      <c r="CB275" s="323"/>
      <c r="CC275" s="314">
        <f t="shared" si="731"/>
        <v>0</v>
      </c>
      <c r="CD275" s="326"/>
      <c r="CE275" s="299">
        <f t="shared" si="698"/>
        <v>0</v>
      </c>
      <c r="CF275" s="284">
        <f t="shared" si="732"/>
        <v>0</v>
      </c>
      <c r="CG275" s="323"/>
      <c r="CH275" s="302">
        <f t="shared" si="733"/>
        <v>0</v>
      </c>
      <c r="CI275" s="108">
        <f t="shared" si="699"/>
        <v>0</v>
      </c>
      <c r="CJ275" s="200">
        <f t="shared" si="700"/>
        <v>0</v>
      </c>
      <c r="CK275" s="197">
        <f t="shared" si="714"/>
        <v>0</v>
      </c>
      <c r="CL275" s="203">
        <f t="shared" si="701"/>
        <v>12</v>
      </c>
      <c r="CM275" s="4">
        <f>U275*Jahresdaten!$AD$2</f>
        <v>0</v>
      </c>
      <c r="CN275" s="112">
        <f>CJ275*Jahresdaten!$AD$2</f>
        <v>0</v>
      </c>
      <c r="CO275" s="366"/>
      <c r="CP275" s="116">
        <f>U275*Jahresdaten!$AD$3</f>
        <v>0</v>
      </c>
      <c r="CQ275" s="12">
        <f>CJ275*Jahresdaten!$AD$3</f>
        <v>0</v>
      </c>
      <c r="CR275" s="353"/>
      <c r="CS275" s="14"/>
      <c r="CT275" s="136"/>
      <c r="CU275" s="140" t="str">
        <f>IF(CT275=0,"",CT275*'Vergleich Holz Strom'!$B$2)</f>
        <v/>
      </c>
      <c r="CV275" s="353"/>
      <c r="CW275" s="366"/>
      <c r="CX275" s="345"/>
      <c r="CY275" s="345"/>
      <c r="CZ275" s="345"/>
      <c r="DA275" s="348"/>
      <c r="DB275" s="94"/>
      <c r="DC275" s="88">
        <f t="shared" si="632"/>
        <v>46413.344666666766</v>
      </c>
      <c r="DD275" s="94"/>
      <c r="DE275" s="88">
        <f t="shared" si="634"/>
        <v>-36575.112546999997</v>
      </c>
      <c r="DF275" s="100" t="e">
        <f ca="1">BE275+(SUM(CS266:CS277)/12)</f>
        <v>#N/A</v>
      </c>
      <c r="DG275" s="351"/>
      <c r="DH275" s="8">
        <f t="shared" si="724"/>
        <v>0</v>
      </c>
      <c r="DI275" s="123">
        <f t="shared" si="648"/>
        <v>18250</v>
      </c>
      <c r="DJ275" s="2">
        <f t="shared" si="725"/>
        <v>0</v>
      </c>
      <c r="DK275" s="127">
        <f>DK277/12*10</f>
        <v>6500</v>
      </c>
      <c r="DL275" s="2">
        <f t="shared" si="618"/>
        <v>650</v>
      </c>
      <c r="DM275" s="130">
        <f t="shared" si="726"/>
        <v>0</v>
      </c>
      <c r="DN275" s="3">
        <f>DN277/12*10</f>
        <v>2500</v>
      </c>
      <c r="DO275" s="130">
        <f t="shared" si="620"/>
        <v>250</v>
      </c>
      <c r="DP275" s="4">
        <f t="shared" si="727"/>
        <v>0</v>
      </c>
      <c r="DQ275" s="116">
        <f t="shared" si="728"/>
        <v>9250</v>
      </c>
      <c r="DR275" s="116">
        <f t="shared" si="734"/>
        <v>150</v>
      </c>
    </row>
    <row r="276" spans="1:122" ht="14.25" customHeight="1" thickBot="1" x14ac:dyDescent="0.2">
      <c r="A276" s="416"/>
      <c r="B276" s="16">
        <v>51714</v>
      </c>
      <c r="C276" s="207">
        <f>'PV-Felder'!$I$9</f>
        <v>3065.7</v>
      </c>
      <c r="D276" s="351"/>
      <c r="E276" s="61">
        <v>0</v>
      </c>
      <c r="F276" s="351"/>
      <c r="G276" s="56" t="e">
        <f t="shared" ca="1" si="686"/>
        <v>#N/A</v>
      </c>
      <c r="H276" s="351"/>
      <c r="I276" s="61">
        <v>0</v>
      </c>
      <c r="J276" s="351"/>
      <c r="K276" s="61">
        <v>0</v>
      </c>
      <c r="L276" s="351"/>
      <c r="M276" s="65">
        <f t="shared" si="705"/>
        <v>0</v>
      </c>
      <c r="N276" s="373"/>
      <c r="O276" s="288"/>
      <c r="P276" s="288"/>
      <c r="Q276" s="286">
        <f t="shared" si="687"/>
        <v>0</v>
      </c>
      <c r="R276" s="334"/>
      <c r="S276" s="61">
        <v>0</v>
      </c>
      <c r="T276" s="376"/>
      <c r="U276" s="61">
        <v>0</v>
      </c>
      <c r="V276" s="342"/>
      <c r="W276" s="61">
        <v>0</v>
      </c>
      <c r="X276" s="342"/>
      <c r="Y276" s="211" t="e">
        <f t="shared" si="612"/>
        <v>#N/A</v>
      </c>
      <c r="Z276" s="370"/>
      <c r="AA276" s="61">
        <v>0</v>
      </c>
      <c r="AB276" s="351"/>
      <c r="AC276" s="61">
        <v>0</v>
      </c>
      <c r="AD276" s="351"/>
      <c r="AE276" s="73" t="e">
        <f t="shared" si="642"/>
        <v>#N/A</v>
      </c>
      <c r="AF276" s="356"/>
      <c r="AG276" s="73" t="e">
        <f t="shared" si="643"/>
        <v>#N/A</v>
      </c>
      <c r="AH276" s="356"/>
      <c r="AI276" s="221">
        <f t="shared" si="729"/>
        <v>29.26</v>
      </c>
      <c r="AJ276" s="78">
        <f t="shared" ref="AJ276:AP276" si="743">AJ275</f>
        <v>0.26750000000000002</v>
      </c>
      <c r="AK276" s="79">
        <f t="shared" si="743"/>
        <v>9.9166666666666661</v>
      </c>
      <c r="AL276" s="80">
        <f t="shared" si="743"/>
        <v>187</v>
      </c>
      <c r="AM276" s="78">
        <f t="shared" si="743"/>
        <v>9.737942583732058E-2</v>
      </c>
      <c r="AN276" s="80">
        <f t="shared" si="743"/>
        <v>143</v>
      </c>
      <c r="AO276" s="78">
        <f t="shared" si="743"/>
        <v>0.21099999999999999</v>
      </c>
      <c r="AP276" s="88">
        <f t="shared" si="743"/>
        <v>12</v>
      </c>
      <c r="AQ276" s="64">
        <f t="shared" si="710"/>
        <v>21.5</v>
      </c>
      <c r="AR276" s="64">
        <f t="shared" si="711"/>
        <v>11.5</v>
      </c>
      <c r="AS276" s="88">
        <f t="shared" si="712"/>
        <v>1.1830000000000001</v>
      </c>
      <c r="AT276" s="91">
        <f t="shared" si="718"/>
        <v>0</v>
      </c>
      <c r="AU276" s="94"/>
      <c r="AV276" s="95"/>
      <c r="AW276" s="56">
        <f t="shared" si="689"/>
        <v>0</v>
      </c>
      <c r="AX276" s="351"/>
      <c r="AY276" s="100">
        <f t="shared" si="716"/>
        <v>9.9166666666666661</v>
      </c>
      <c r="AZ276" s="360"/>
      <c r="BA276" s="91">
        <f t="shared" si="723"/>
        <v>-2652.362546999997</v>
      </c>
      <c r="BB276" s="5">
        <f t="shared" si="645"/>
        <v>-9.9166666666666661</v>
      </c>
      <c r="BC276" s="363"/>
      <c r="BD276" s="91" t="e">
        <f t="shared" ca="1" si="690"/>
        <v>#N/A</v>
      </c>
      <c r="BE276" s="91" t="e">
        <f t="shared" ca="1" si="691"/>
        <v>#N/A</v>
      </c>
      <c r="BF276" s="91">
        <f t="shared" si="692"/>
        <v>31.833333333333329</v>
      </c>
      <c r="BG276" s="91" t="e">
        <f t="shared" ca="1" si="693"/>
        <v>#N/A</v>
      </c>
      <c r="BH276" s="91" t="e">
        <f t="shared" ca="1" si="737"/>
        <v>#N/A</v>
      </c>
      <c r="BI276" s="10" t="e">
        <f t="shared" ca="1" si="707"/>
        <v>#N/A</v>
      </c>
      <c r="BJ276" s="104">
        <f>((M276+Q276)*AJ276+AK276)+((U276-W276+W276/('Vergleich Holz Strom'!$B$8-0.6))*AO276+AP276)</f>
        <v>21.916666666666664</v>
      </c>
      <c r="BK276" s="10" t="e">
        <f t="shared" ca="1" si="646"/>
        <v>#N/A</v>
      </c>
      <c r="BL276" s="379"/>
      <c r="BM276" s="104" t="e">
        <f t="shared" ca="1" si="703"/>
        <v>#N/A</v>
      </c>
      <c r="BN276" s="40" t="e">
        <f ca="1">IF(ISNUMBER(BK276),BN275+SUMIF(BK266:BK277,"&lt;&gt;#NV",BK266:BK277)/COUNTIF(BK266:BK277,"&lt;&gt;#NV"),#N/A)</f>
        <v>#N/A</v>
      </c>
      <c r="BO276" s="10" t="e">
        <f t="shared" ref="BO276:BO286" ca="1" si="744">BK276+AT276+AU276</f>
        <v>#N/A</v>
      </c>
      <c r="BP276" s="104" t="e">
        <f t="shared" ca="1" si="647"/>
        <v>#N/A</v>
      </c>
      <c r="BQ276" s="104">
        <f t="shared" ca="1" si="667"/>
        <v>-58420.102557104932</v>
      </c>
      <c r="BR276" s="10">
        <f t="shared" si="694"/>
        <v>9.9166666666666661</v>
      </c>
      <c r="BS276" s="311"/>
      <c r="BT276" s="307"/>
      <c r="BU276" s="295">
        <f t="shared" si="695"/>
        <v>0</v>
      </c>
      <c r="BV276" s="323"/>
      <c r="BW276" s="299">
        <f t="shared" si="696"/>
        <v>0</v>
      </c>
      <c r="BX276" s="295">
        <f t="shared" si="697"/>
        <v>0</v>
      </c>
      <c r="BY276" s="382"/>
      <c r="BZ276" s="299">
        <f t="shared" si="704"/>
        <v>0</v>
      </c>
      <c r="CA276" s="295">
        <f t="shared" si="708"/>
        <v>0</v>
      </c>
      <c r="CB276" s="323"/>
      <c r="CC276" s="314">
        <f t="shared" si="731"/>
        <v>0</v>
      </c>
      <c r="CD276" s="326"/>
      <c r="CE276" s="299">
        <f t="shared" si="698"/>
        <v>0</v>
      </c>
      <c r="CF276" s="284">
        <f t="shared" si="732"/>
        <v>0</v>
      </c>
      <c r="CG276" s="323"/>
      <c r="CH276" s="302">
        <f t="shared" si="733"/>
        <v>0</v>
      </c>
      <c r="CI276" s="108">
        <f t="shared" si="699"/>
        <v>0</v>
      </c>
      <c r="CJ276" s="200">
        <f t="shared" si="700"/>
        <v>0</v>
      </c>
      <c r="CK276" s="197">
        <f t="shared" si="714"/>
        <v>0</v>
      </c>
      <c r="CL276" s="203">
        <f t="shared" si="701"/>
        <v>12</v>
      </c>
      <c r="CM276" s="4">
        <f>U276*Jahresdaten!$AD$2</f>
        <v>0</v>
      </c>
      <c r="CN276" s="112">
        <f>CJ276*Jahresdaten!$AD$2</f>
        <v>0</v>
      </c>
      <c r="CO276" s="366"/>
      <c r="CP276" s="116">
        <f>U276*Jahresdaten!$AD$3</f>
        <v>0</v>
      </c>
      <c r="CQ276" s="12">
        <f>CJ276*Jahresdaten!$AD$3</f>
        <v>0</v>
      </c>
      <c r="CR276" s="353"/>
      <c r="CS276" s="14"/>
      <c r="CT276" s="136"/>
      <c r="CU276" s="140" t="str">
        <f>IF(CT276=0,"",CT276*'Vergleich Holz Strom'!$B$2)</f>
        <v/>
      </c>
      <c r="CV276" s="353"/>
      <c r="CW276" s="366"/>
      <c r="CX276" s="345"/>
      <c r="CY276" s="345"/>
      <c r="CZ276" s="345"/>
      <c r="DA276" s="348"/>
      <c r="DB276" s="94"/>
      <c r="DC276" s="88">
        <f t="shared" si="632"/>
        <v>46590.428000000102</v>
      </c>
      <c r="DD276" s="94"/>
      <c r="DE276" s="88">
        <f t="shared" si="634"/>
        <v>-36718.112546999997</v>
      </c>
      <c r="DF276" s="100" t="e">
        <f ca="1">BE276+(SUM(CS266:CS277)/12)</f>
        <v>#N/A</v>
      </c>
      <c r="DG276" s="351"/>
      <c r="DH276" s="8">
        <f t="shared" si="724"/>
        <v>0</v>
      </c>
      <c r="DI276" s="123">
        <f t="shared" si="648"/>
        <v>19300</v>
      </c>
      <c r="DJ276" s="2">
        <f t="shared" si="725"/>
        <v>0</v>
      </c>
      <c r="DK276" s="127">
        <f>DK277/12*11</f>
        <v>7150</v>
      </c>
      <c r="DL276" s="2">
        <f t="shared" si="618"/>
        <v>650</v>
      </c>
      <c r="DM276" s="130">
        <f t="shared" si="726"/>
        <v>0</v>
      </c>
      <c r="DN276" s="3">
        <f>DN277/12*11</f>
        <v>2750</v>
      </c>
      <c r="DO276" s="130">
        <f t="shared" si="620"/>
        <v>250</v>
      </c>
      <c r="DP276" s="4">
        <f t="shared" si="727"/>
        <v>0</v>
      </c>
      <c r="DQ276" s="116">
        <f t="shared" si="728"/>
        <v>9400</v>
      </c>
      <c r="DR276" s="116">
        <f t="shared" si="734"/>
        <v>150</v>
      </c>
    </row>
    <row r="277" spans="1:122" s="28" customFormat="1" ht="15" customHeight="1" thickBot="1" x14ac:dyDescent="0.2">
      <c r="A277" s="417"/>
      <c r="B277" s="18">
        <v>51745</v>
      </c>
      <c r="C277" s="208">
        <f>'PV-Felder'!$I$10</f>
        <v>2246.7000000000003</v>
      </c>
      <c r="D277" s="352"/>
      <c r="E277" s="63">
        <v>0</v>
      </c>
      <c r="F277" s="352"/>
      <c r="G277" s="57" t="e">
        <f t="shared" ca="1" si="686"/>
        <v>#N/A</v>
      </c>
      <c r="H277" s="352"/>
      <c r="I277" s="63">
        <v>0</v>
      </c>
      <c r="J277" s="352"/>
      <c r="K277" s="63">
        <v>0</v>
      </c>
      <c r="L277" s="352"/>
      <c r="M277" s="67">
        <f t="shared" si="705"/>
        <v>0</v>
      </c>
      <c r="N277" s="374"/>
      <c r="O277" s="290"/>
      <c r="P277" s="290"/>
      <c r="Q277" s="289">
        <f t="shared" si="687"/>
        <v>0</v>
      </c>
      <c r="R277" s="334"/>
      <c r="S277" s="63">
        <v>0</v>
      </c>
      <c r="T277" s="377"/>
      <c r="U277" s="63">
        <v>0</v>
      </c>
      <c r="V277" s="343"/>
      <c r="W277" s="63">
        <v>0</v>
      </c>
      <c r="X277" s="343"/>
      <c r="Y277" s="213" t="e">
        <f t="shared" si="612"/>
        <v>#N/A</v>
      </c>
      <c r="Z277" s="371"/>
      <c r="AA277" s="63">
        <v>0</v>
      </c>
      <c r="AB277" s="352"/>
      <c r="AC277" s="63">
        <v>0</v>
      </c>
      <c r="AD277" s="352"/>
      <c r="AE277" s="75" t="e">
        <f t="shared" si="642"/>
        <v>#N/A</v>
      </c>
      <c r="AF277" s="357"/>
      <c r="AG277" s="75" t="e">
        <f t="shared" si="643"/>
        <v>#N/A</v>
      </c>
      <c r="AH277" s="357"/>
      <c r="AI277" s="223">
        <f>AI276</f>
        <v>29.26</v>
      </c>
      <c r="AJ277" s="83">
        <f t="shared" ref="AJ277:AP277" si="745">AJ276</f>
        <v>0.26750000000000002</v>
      </c>
      <c r="AK277" s="21">
        <f t="shared" si="745"/>
        <v>9.9166666666666661</v>
      </c>
      <c r="AL277" s="84">
        <f t="shared" si="745"/>
        <v>187</v>
      </c>
      <c r="AM277" s="83">
        <f t="shared" si="745"/>
        <v>9.737942583732058E-2</v>
      </c>
      <c r="AN277" s="84">
        <f t="shared" si="745"/>
        <v>143</v>
      </c>
      <c r="AO277" s="83">
        <f t="shared" si="745"/>
        <v>0.21099999999999999</v>
      </c>
      <c r="AP277" s="90">
        <f t="shared" si="745"/>
        <v>12</v>
      </c>
      <c r="AQ277" s="125">
        <f t="shared" si="710"/>
        <v>21.5</v>
      </c>
      <c r="AR277" s="125">
        <f t="shared" si="711"/>
        <v>11.5</v>
      </c>
      <c r="AS277" s="92">
        <f t="shared" si="712"/>
        <v>1.1830000000000001</v>
      </c>
      <c r="AT277" s="92">
        <f t="shared" si="718"/>
        <v>0</v>
      </c>
      <c r="AU277" s="98"/>
      <c r="AV277" s="99"/>
      <c r="AW277" s="57">
        <f t="shared" si="689"/>
        <v>0</v>
      </c>
      <c r="AX277" s="352"/>
      <c r="AY277" s="102">
        <f t="shared" si="716"/>
        <v>9.9166666666666661</v>
      </c>
      <c r="AZ277" s="361"/>
      <c r="BA277" s="92">
        <f t="shared" si="723"/>
        <v>-2662.2792136666635</v>
      </c>
      <c r="BB277" s="22">
        <f t="shared" si="645"/>
        <v>-9.9166666666666661</v>
      </c>
      <c r="BC277" s="364"/>
      <c r="BD277" s="92" t="e">
        <f t="shared" ca="1" si="690"/>
        <v>#N/A</v>
      </c>
      <c r="BE277" s="92" t="e">
        <f t="shared" ca="1" si="691"/>
        <v>#N/A</v>
      </c>
      <c r="BF277" s="92">
        <f t="shared" si="692"/>
        <v>31.833333333333329</v>
      </c>
      <c r="BG277" s="92" t="e">
        <f t="shared" ca="1" si="693"/>
        <v>#N/A</v>
      </c>
      <c r="BH277" s="92" t="e">
        <f t="shared" ca="1" si="737"/>
        <v>#N/A</v>
      </c>
      <c r="BI277" s="24" t="e">
        <f t="shared" ca="1" si="707"/>
        <v>#N/A</v>
      </c>
      <c r="BJ277" s="106">
        <f>((M277+Q277)*AJ277+AK277)+((U277-W277+W277/('Vergleich Holz Strom'!$B$8-0.6))*AO277+AP277)</f>
        <v>21.916666666666664</v>
      </c>
      <c r="BK277" s="24" t="e">
        <f t="shared" ca="1" si="646"/>
        <v>#N/A</v>
      </c>
      <c r="BL277" s="380"/>
      <c r="BM277" s="106" t="e">
        <f t="shared" ca="1" si="703"/>
        <v>#N/A</v>
      </c>
      <c r="BN277" s="226" t="e">
        <f ca="1">IF(ISNUMBER(BK277),BN276+SUMIF(BK266:BK277,"&lt;&gt;#NV",BK266:BK277)/COUNTIF(BK266:BK277,"&lt;&gt;#NV"),#N/A)</f>
        <v>#N/A</v>
      </c>
      <c r="BO277" s="318" t="e">
        <f t="shared" ca="1" si="744"/>
        <v>#N/A</v>
      </c>
      <c r="BP277" s="106" t="e">
        <f t="shared" ca="1" si="647"/>
        <v>#N/A</v>
      </c>
      <c r="BQ277" s="106">
        <f t="shared" ca="1" si="667"/>
        <v>-58403.902511614826</v>
      </c>
      <c r="BR277" s="24">
        <f t="shared" si="694"/>
        <v>9.9166666666666661</v>
      </c>
      <c r="BS277" s="312"/>
      <c r="BT277" s="308"/>
      <c r="BU277" s="296">
        <f t="shared" si="695"/>
        <v>0</v>
      </c>
      <c r="BV277" s="324"/>
      <c r="BW277" s="292">
        <f t="shared" si="696"/>
        <v>0</v>
      </c>
      <c r="BX277" s="295">
        <f t="shared" si="697"/>
        <v>0</v>
      </c>
      <c r="BY277" s="382"/>
      <c r="BZ277" s="299">
        <f t="shared" si="704"/>
        <v>0</v>
      </c>
      <c r="CA277" s="296">
        <f t="shared" si="708"/>
        <v>0</v>
      </c>
      <c r="CB277" s="324"/>
      <c r="CC277" s="315">
        <f t="shared" si="731"/>
        <v>0</v>
      </c>
      <c r="CD277" s="327"/>
      <c r="CE277" s="292">
        <f t="shared" si="698"/>
        <v>0</v>
      </c>
      <c r="CF277" s="296">
        <f t="shared" si="732"/>
        <v>0</v>
      </c>
      <c r="CG277" s="324"/>
      <c r="CH277" s="303">
        <f t="shared" si="733"/>
        <v>0</v>
      </c>
      <c r="CI277" s="110">
        <f t="shared" si="699"/>
        <v>0</v>
      </c>
      <c r="CJ277" s="200">
        <f t="shared" si="700"/>
        <v>0</v>
      </c>
      <c r="CK277" s="25">
        <f t="shared" si="714"/>
        <v>0</v>
      </c>
      <c r="CL277" s="204">
        <f t="shared" si="701"/>
        <v>12</v>
      </c>
      <c r="CM277" s="26">
        <f>U277*Jahresdaten!$AD$2</f>
        <v>0</v>
      </c>
      <c r="CN277" s="114">
        <f>CJ277*Jahresdaten!$AD$2</f>
        <v>0</v>
      </c>
      <c r="CO277" s="346"/>
      <c r="CP277" s="118">
        <f>U277*Jahresdaten!$AD$3</f>
        <v>0</v>
      </c>
      <c r="CQ277" s="25">
        <f>CJ277*Jahresdaten!$AD$3</f>
        <v>0</v>
      </c>
      <c r="CR277" s="354"/>
      <c r="CS277" s="23"/>
      <c r="CT277" s="138"/>
      <c r="CU277" s="141" t="str">
        <f>IF(CT277=0,"",CT277*'Vergleich Holz Strom'!$B$2)</f>
        <v/>
      </c>
      <c r="CV277" s="354"/>
      <c r="CW277" s="346"/>
      <c r="CX277" s="346"/>
      <c r="CY277" s="346"/>
      <c r="CZ277" s="346"/>
      <c r="DA277" s="349"/>
      <c r="DB277" s="98"/>
      <c r="DC277" s="90">
        <f t="shared" si="632"/>
        <v>46767.511333333438</v>
      </c>
      <c r="DD277" s="98"/>
      <c r="DE277" s="90">
        <f t="shared" si="634"/>
        <v>-36861.112546999997</v>
      </c>
      <c r="DF277" s="102" t="e">
        <f ca="1">BE277+(SUM(CS266:CS277)/12)</f>
        <v>#N/A</v>
      </c>
      <c r="DG277" s="352"/>
      <c r="DH277" s="19">
        <f t="shared" si="724"/>
        <v>0</v>
      </c>
      <c r="DI277" s="125">
        <f t="shared" si="648"/>
        <v>20800</v>
      </c>
      <c r="DJ277" s="20">
        <f t="shared" si="725"/>
        <v>0</v>
      </c>
      <c r="DK277" s="129">
        <f>DK265</f>
        <v>7800</v>
      </c>
      <c r="DL277" s="20">
        <f t="shared" si="618"/>
        <v>650</v>
      </c>
      <c r="DM277" s="132">
        <f t="shared" si="726"/>
        <v>0</v>
      </c>
      <c r="DN277" s="27">
        <f>DN265</f>
        <v>3000</v>
      </c>
      <c r="DO277" s="132">
        <f t="shared" si="620"/>
        <v>250</v>
      </c>
      <c r="DP277" s="26">
        <f t="shared" si="727"/>
        <v>0</v>
      </c>
      <c r="DQ277" s="118">
        <f>DQ265</f>
        <v>10000</v>
      </c>
      <c r="DR277" s="118">
        <f>DR265</f>
        <v>600</v>
      </c>
    </row>
    <row r="278" spans="1:122" ht="15" customHeight="1" thickBot="1" x14ac:dyDescent="0.2">
      <c r="A278" s="415" t="s">
        <v>181</v>
      </c>
      <c r="B278" s="16">
        <v>51775</v>
      </c>
      <c r="C278" s="207">
        <f>'PV-Felder'!$I$11</f>
        <v>1416.7</v>
      </c>
      <c r="D278" s="358">
        <f>SUMIF(E278:E289,"&gt;0",C278:C289)</f>
        <v>0</v>
      </c>
      <c r="E278" s="61">
        <v>0</v>
      </c>
      <c r="F278" s="368">
        <f>SUM(E278:E289)</f>
        <v>0</v>
      </c>
      <c r="G278" s="58" t="e">
        <f t="shared" ca="1" si="686"/>
        <v>#N/A</v>
      </c>
      <c r="H278" s="358" t="e">
        <f ca="1">IF(TODAY()&lt;B278,#N/A,F278-D278)</f>
        <v>#N/A</v>
      </c>
      <c r="I278" s="61">
        <v>0</v>
      </c>
      <c r="J278" s="368">
        <f>SUM(I278:I289)</f>
        <v>0</v>
      </c>
      <c r="K278" s="61">
        <v>0</v>
      </c>
      <c r="L278" s="368">
        <f>SUM(K278:K289)</f>
        <v>0</v>
      </c>
      <c r="M278" s="66">
        <f t="shared" si="705"/>
        <v>0</v>
      </c>
      <c r="N278" s="372">
        <f>SUM(M278:M289)</f>
        <v>0</v>
      </c>
      <c r="Q278" s="287">
        <f t="shared" si="687"/>
        <v>0</v>
      </c>
      <c r="R278" s="333">
        <f>SUM(Q278:Q289)</f>
        <v>0</v>
      </c>
      <c r="S278" s="61">
        <v>0</v>
      </c>
      <c r="T278" s="375">
        <f>SUM(S278:S289)</f>
        <v>0</v>
      </c>
      <c r="U278" s="61">
        <v>0</v>
      </c>
      <c r="V278" s="341">
        <f>SUM(U278:U289)</f>
        <v>0</v>
      </c>
      <c r="W278" s="61">
        <v>0</v>
      </c>
      <c r="X278" s="341">
        <f>SUM(W278:W289)</f>
        <v>0</v>
      </c>
      <c r="Y278" s="211" t="e">
        <f t="shared" si="612"/>
        <v>#N/A</v>
      </c>
      <c r="Z278" s="369">
        <f>N278+T278+V278</f>
        <v>0</v>
      </c>
      <c r="AA278" s="62">
        <v>0</v>
      </c>
      <c r="AB278" s="368">
        <f>SUM(AA278:AA289)</f>
        <v>0</v>
      </c>
      <c r="AC278" s="62">
        <v>0</v>
      </c>
      <c r="AD278" s="368">
        <f>SUM(AC278:AC289)</f>
        <v>0</v>
      </c>
      <c r="AE278" s="74" t="e">
        <f t="shared" si="642"/>
        <v>#N/A</v>
      </c>
      <c r="AF278" s="355" t="e">
        <f>IF(SUMIF(AE278:AE289,"&gt;0")&gt;0,SUMIF(AE278:AE289,"&gt;0")/COUNTIF(AE278:AE289,"&gt;0"),#N/A)</f>
        <v>#N/A</v>
      </c>
      <c r="AG278" s="73" t="e">
        <f t="shared" si="643"/>
        <v>#N/A</v>
      </c>
      <c r="AH278" s="355" t="e">
        <f>IF(SUMIF(AG278:AG289,"&gt;0")&gt;0,SUMIF(AG278:AG289,"&gt;0")/COUNTIF(AG278:AG289,"&gt;0"),#N/A)</f>
        <v>#N/A</v>
      </c>
      <c r="AI278" s="222">
        <f>AI277</f>
        <v>29.26</v>
      </c>
      <c r="AJ278" s="78">
        <f t="shared" ref="AJ278:AP278" si="746">AJ277</f>
        <v>0.26750000000000002</v>
      </c>
      <c r="AK278" s="79">
        <f t="shared" si="746"/>
        <v>9.9166666666666661</v>
      </c>
      <c r="AL278" s="80">
        <f t="shared" si="746"/>
        <v>187</v>
      </c>
      <c r="AM278" s="78">
        <f t="shared" si="746"/>
        <v>9.737942583732058E-2</v>
      </c>
      <c r="AN278" s="80">
        <f t="shared" si="746"/>
        <v>143</v>
      </c>
      <c r="AO278" s="78">
        <f t="shared" si="746"/>
        <v>0.21099999999999999</v>
      </c>
      <c r="AP278" s="88">
        <f t="shared" si="746"/>
        <v>12</v>
      </c>
      <c r="AQ278" s="64">
        <f t="shared" si="710"/>
        <v>21.5</v>
      </c>
      <c r="AR278" s="64">
        <f t="shared" si="711"/>
        <v>11.5</v>
      </c>
      <c r="AS278" s="88">
        <f t="shared" si="712"/>
        <v>1.1830000000000001</v>
      </c>
      <c r="AT278" s="91">
        <f t="shared" si="718"/>
        <v>0</v>
      </c>
      <c r="AU278" s="94"/>
      <c r="AV278" s="95"/>
      <c r="AW278" s="56">
        <f t="shared" si="689"/>
        <v>0</v>
      </c>
      <c r="AX278" s="358">
        <f>SUM(AW278:AW289)</f>
        <v>0</v>
      </c>
      <c r="AY278" s="100">
        <f t="shared" si="716"/>
        <v>9.9166666666666661</v>
      </c>
      <c r="AZ278" s="359">
        <f>SUM(AY278:AY289)</f>
        <v>119.00000000000001</v>
      </c>
      <c r="BA278" s="103">
        <f>BA277-AY278</f>
        <v>-2672.19588033333</v>
      </c>
      <c r="BB278" s="5">
        <f t="shared" si="645"/>
        <v>-9.9166666666666661</v>
      </c>
      <c r="BC278" s="362">
        <f>SUM(AY278:AY289)/12</f>
        <v>9.9166666666666679</v>
      </c>
      <c r="BD278" s="91" t="e">
        <f t="shared" ca="1" si="690"/>
        <v>#N/A</v>
      </c>
      <c r="BE278" s="91" t="e">
        <f t="shared" ca="1" si="691"/>
        <v>#N/A</v>
      </c>
      <c r="BF278" s="91">
        <f t="shared" si="692"/>
        <v>31.833333333333329</v>
      </c>
      <c r="BG278" s="91" t="e">
        <f t="shared" ca="1" si="693"/>
        <v>#N/A</v>
      </c>
      <c r="BH278" s="91" t="e">
        <f t="shared" ca="1" si="737"/>
        <v>#N/A</v>
      </c>
      <c r="BI278" s="10" t="e">
        <f t="shared" ca="1" si="707"/>
        <v>#N/A</v>
      </c>
      <c r="BJ278" s="104">
        <f>((M278+Q278)*AJ278+AK278)+((U278-W278+W278/('Vergleich Holz Strom'!$B$8-0.6))*AO278+AP278)</f>
        <v>21.916666666666664</v>
      </c>
      <c r="BK278" s="10" t="e">
        <f t="shared" ca="1" si="646"/>
        <v>#N/A</v>
      </c>
      <c r="BL278" s="378">
        <f ca="1">SUMIF(BK278:BK289,"&lt;&gt;#NV",BK278:BK289)</f>
        <v>0</v>
      </c>
      <c r="BM278" s="104" t="e">
        <f t="shared" ca="1" si="703"/>
        <v>#N/A</v>
      </c>
      <c r="BN278" s="40" t="e">
        <f ca="1">IF(ISNUMBER(BK278),BN277+SUMIF(BK278:BK289,"&lt;&gt;#NV",BK278:BK289)/COUNTIF(BK278:BK289,"&lt;&gt;#NV"),#N/A)</f>
        <v>#N/A</v>
      </c>
      <c r="BO278" s="10" t="e">
        <f t="shared" ca="1" si="744"/>
        <v>#N/A</v>
      </c>
      <c r="BP278" s="105" t="e">
        <f t="shared" ca="1" si="647"/>
        <v>#N/A</v>
      </c>
      <c r="BQ278" s="104">
        <f t="shared" ca="1" si="667"/>
        <v>-58391.902511614826</v>
      </c>
      <c r="BR278" s="10">
        <f t="shared" si="694"/>
        <v>9.9166666666666661</v>
      </c>
      <c r="BS278" s="311"/>
      <c r="BT278" s="307"/>
      <c r="BU278" s="295">
        <f t="shared" si="695"/>
        <v>0</v>
      </c>
      <c r="BV278" s="322">
        <f>SUM(BU278:BU289)</f>
        <v>0</v>
      </c>
      <c r="BW278" s="300">
        <f t="shared" si="696"/>
        <v>0</v>
      </c>
      <c r="BX278" s="305">
        <f t="shared" si="697"/>
        <v>0</v>
      </c>
      <c r="BY278" s="381">
        <f>SUM(BX278:BX289)</f>
        <v>0</v>
      </c>
      <c r="BZ278" s="300">
        <f t="shared" si="704"/>
        <v>0</v>
      </c>
      <c r="CA278" s="295">
        <f t="shared" si="708"/>
        <v>0</v>
      </c>
      <c r="CB278" s="322">
        <f>SUM(CA278:CA289)</f>
        <v>0</v>
      </c>
      <c r="CC278" s="314">
        <f t="shared" si="731"/>
        <v>0</v>
      </c>
      <c r="CD278" s="325">
        <f>SUM(CC278:CC289)</f>
        <v>0</v>
      </c>
      <c r="CE278" s="299">
        <f t="shared" si="698"/>
        <v>0</v>
      </c>
      <c r="CF278" s="284">
        <f t="shared" si="732"/>
        <v>0</v>
      </c>
      <c r="CG278" s="328">
        <f>SUM(CF278:CF289)</f>
        <v>0</v>
      </c>
      <c r="CH278" s="302">
        <f t="shared" si="733"/>
        <v>0</v>
      </c>
      <c r="CI278" s="108">
        <f t="shared" si="699"/>
        <v>0</v>
      </c>
      <c r="CJ278" s="201">
        <f t="shared" si="700"/>
        <v>0</v>
      </c>
      <c r="CK278" s="197">
        <f t="shared" si="714"/>
        <v>0</v>
      </c>
      <c r="CL278" s="203">
        <f t="shared" si="701"/>
        <v>12</v>
      </c>
      <c r="CM278" s="4">
        <f>U278*Jahresdaten!$AD$2</f>
        <v>0</v>
      </c>
      <c r="CN278" s="112">
        <f>CJ278*Jahresdaten!$AD$2</f>
        <v>0</v>
      </c>
      <c r="CO278" s="365">
        <f>CW278*Jahresdaten!$AD$2</f>
        <v>856.59076092206669</v>
      </c>
      <c r="CP278" s="116">
        <f>U278*Jahresdaten!$AD$3</f>
        <v>0</v>
      </c>
      <c r="CQ278" s="12">
        <f>CJ278*Jahresdaten!$AD$3</f>
        <v>0</v>
      </c>
      <c r="CR278" s="367">
        <f>CW278*Jahresdaten!$AD$3</f>
        <v>312.40923907793319</v>
      </c>
      <c r="CS278" s="14">
        <f>CS266</f>
        <v>1169</v>
      </c>
      <c r="CT278" s="136">
        <f>CT266</f>
        <v>12</v>
      </c>
      <c r="CU278" s="140">
        <f>IF(CT278=0,"",CT278*'Vergleich Holz Strom'!$B$2)</f>
        <v>25800</v>
      </c>
      <c r="CV278" s="120" t="s">
        <v>7</v>
      </c>
      <c r="CW278" s="365">
        <f>CV279+CV285</f>
        <v>1169</v>
      </c>
      <c r="CX278" s="344">
        <f>SUM(CS278:CS289)/SUM(CU278:CU289)*(SUM(CU278:CU289)+(V278*('Vergleich Holz Strom'!$B$8-0.6)/'Vergleich Holz Strom'!$E$6))</f>
        <v>1169</v>
      </c>
      <c r="CY278" s="344">
        <f>SUM(CU278:CU289)*'Vergleich Holz Strom'!$E$6/('Vergleich Holz Strom'!$B$8-0.6)*(SUM(AJ278:AJ289)/12)+CV279</f>
        <v>1420.8970588235295</v>
      </c>
      <c r="CZ278" s="344">
        <f>SUM(CU278:CU289)*'Vergleich Holz Strom'!$E$6/('Vergleich Holz Strom'!$B$8-0.6)*SUM(AM278:AM289)/12+SUM(CK278:CK289)</f>
        <v>517.25659724176774</v>
      </c>
      <c r="DA278" s="347">
        <f>SUM(CU278:CU289)*'Vergleich Holz Strom'!$E$6/('Vergleich Holz Strom'!$B$8-0.6)*(SUM(AO278:AO289)/12)+SUM(CL278:CL289)</f>
        <v>1264.7823529411764</v>
      </c>
      <c r="DB278" s="94"/>
      <c r="DC278" s="88">
        <f t="shared" si="632"/>
        <v>46944.594666666773</v>
      </c>
      <c r="DD278" s="94"/>
      <c r="DE278" s="88">
        <f t="shared" si="634"/>
        <v>-37004.112546999997</v>
      </c>
      <c r="DF278" s="100" t="e">
        <f ca="1">BE278+(SUM(CS278:CS289)/12)</f>
        <v>#N/A</v>
      </c>
      <c r="DG278" s="350">
        <f ca="1">SUMIF(DF278:DF289,"&gt;0")</f>
        <v>0</v>
      </c>
      <c r="DH278" s="8">
        <f>M278+S278+U278</f>
        <v>0</v>
      </c>
      <c r="DI278" s="123">
        <f t="shared" si="648"/>
        <v>1850</v>
      </c>
      <c r="DJ278" s="2">
        <f>M278</f>
        <v>0</v>
      </c>
      <c r="DK278" s="127">
        <f>DK289/12*1</f>
        <v>650</v>
      </c>
      <c r="DL278" s="2">
        <f>DL277</f>
        <v>650</v>
      </c>
      <c r="DM278" s="130">
        <f>S278</f>
        <v>0</v>
      </c>
      <c r="DN278" s="3">
        <f>DN289/12*1</f>
        <v>250</v>
      </c>
      <c r="DO278" s="130">
        <f>DO277</f>
        <v>250</v>
      </c>
      <c r="DP278" s="4">
        <f>U278</f>
        <v>0</v>
      </c>
      <c r="DQ278" s="116">
        <f>DR278</f>
        <v>950</v>
      </c>
      <c r="DR278" s="116">
        <f>DR266</f>
        <v>950</v>
      </c>
    </row>
    <row r="279" spans="1:122" ht="14.25" customHeight="1" thickBot="1" x14ac:dyDescent="0.2">
      <c r="A279" s="416"/>
      <c r="B279" s="16">
        <v>51806</v>
      </c>
      <c r="C279" s="207">
        <f>'PV-Felder'!$I$12</f>
        <v>739.6</v>
      </c>
      <c r="D279" s="351"/>
      <c r="E279" s="61">
        <v>0</v>
      </c>
      <c r="F279" s="351"/>
      <c r="G279" s="56" t="e">
        <f t="shared" ca="1" si="686"/>
        <v>#N/A</v>
      </c>
      <c r="H279" s="351"/>
      <c r="I279" s="61">
        <v>0</v>
      </c>
      <c r="J279" s="351"/>
      <c r="K279" s="61">
        <v>0</v>
      </c>
      <c r="L279" s="351"/>
      <c r="M279" s="65">
        <f t="shared" si="705"/>
        <v>0</v>
      </c>
      <c r="N279" s="373"/>
      <c r="O279" s="288"/>
      <c r="P279" s="288"/>
      <c r="Q279" s="286">
        <f t="shared" si="687"/>
        <v>0</v>
      </c>
      <c r="R279" s="334"/>
      <c r="S279" s="61">
        <v>0</v>
      </c>
      <c r="T279" s="376"/>
      <c r="U279" s="61">
        <v>0</v>
      </c>
      <c r="V279" s="342"/>
      <c r="W279" s="61">
        <v>0</v>
      </c>
      <c r="X279" s="342"/>
      <c r="Y279" s="211" t="e">
        <f t="shared" si="612"/>
        <v>#N/A</v>
      </c>
      <c r="Z279" s="370"/>
      <c r="AA279" s="61">
        <v>0</v>
      </c>
      <c r="AB279" s="351"/>
      <c r="AC279" s="61">
        <v>0</v>
      </c>
      <c r="AD279" s="351"/>
      <c r="AE279" s="73" t="e">
        <f t="shared" si="642"/>
        <v>#N/A</v>
      </c>
      <c r="AF279" s="356"/>
      <c r="AG279" s="73" t="e">
        <f t="shared" si="643"/>
        <v>#N/A</v>
      </c>
      <c r="AH279" s="356"/>
      <c r="AI279" s="221">
        <f>AI278</f>
        <v>29.26</v>
      </c>
      <c r="AJ279" s="78">
        <f t="shared" ref="AJ279:AN279" si="747">AJ278</f>
        <v>0.26750000000000002</v>
      </c>
      <c r="AK279" s="79">
        <f t="shared" si="747"/>
        <v>9.9166666666666661</v>
      </c>
      <c r="AL279" s="80">
        <f t="shared" si="747"/>
        <v>187</v>
      </c>
      <c r="AM279" s="78">
        <f t="shared" si="747"/>
        <v>9.737942583732058E-2</v>
      </c>
      <c r="AN279" s="80">
        <f t="shared" si="747"/>
        <v>143</v>
      </c>
      <c r="AO279" s="78">
        <f>AO278</f>
        <v>0.21099999999999999</v>
      </c>
      <c r="AP279" s="88">
        <f>AP278</f>
        <v>12</v>
      </c>
      <c r="AQ279" s="64">
        <f t="shared" si="710"/>
        <v>21.5</v>
      </c>
      <c r="AR279" s="64">
        <f t="shared" si="711"/>
        <v>11.5</v>
      </c>
      <c r="AS279" s="88">
        <f t="shared" si="712"/>
        <v>1.1830000000000001</v>
      </c>
      <c r="AT279" s="91">
        <f t="shared" si="718"/>
        <v>0</v>
      </c>
      <c r="AU279" s="94"/>
      <c r="AV279" s="95"/>
      <c r="AW279" s="56">
        <f t="shared" si="689"/>
        <v>0</v>
      </c>
      <c r="AX279" s="351"/>
      <c r="AY279" s="100">
        <f t="shared" si="716"/>
        <v>9.9166666666666661</v>
      </c>
      <c r="AZ279" s="360"/>
      <c r="BA279" s="91">
        <f t="shared" ref="BA279:BA289" si="748">BA278-AY279</f>
        <v>-2682.1125469999965</v>
      </c>
      <c r="BB279" s="5">
        <f t="shared" si="645"/>
        <v>-9.9166666666666661</v>
      </c>
      <c r="BC279" s="363"/>
      <c r="BD279" s="91" t="e">
        <f t="shared" ca="1" si="690"/>
        <v>#N/A</v>
      </c>
      <c r="BE279" s="91" t="e">
        <f t="shared" ca="1" si="691"/>
        <v>#N/A</v>
      </c>
      <c r="BF279" s="91">
        <f t="shared" si="692"/>
        <v>31.833333333333329</v>
      </c>
      <c r="BG279" s="91" t="e">
        <f t="shared" ca="1" si="693"/>
        <v>#N/A</v>
      </c>
      <c r="BH279" s="91" t="e">
        <f t="shared" ca="1" si="737"/>
        <v>#N/A</v>
      </c>
      <c r="BI279" s="10" t="e">
        <f t="shared" ca="1" si="707"/>
        <v>#N/A</v>
      </c>
      <c r="BJ279" s="104">
        <f>((M279+Q279)*AJ279+AK279)+((U279-W279+W279/('Vergleich Holz Strom'!$B$8-0.6))*AO279+AP279)</f>
        <v>21.916666666666664</v>
      </c>
      <c r="BK279" s="10" t="e">
        <f t="shared" ca="1" si="646"/>
        <v>#N/A</v>
      </c>
      <c r="BL279" s="379"/>
      <c r="BM279" s="104" t="e">
        <f t="shared" ca="1" si="703"/>
        <v>#N/A</v>
      </c>
      <c r="BN279" s="40" t="e">
        <f ca="1">IF(ISNUMBER(BK279),BN278+SUMIF(BK278:BK289,"&lt;&gt;#NV",BK278:BK289)/COUNTIF(BK278:BK289,"&lt;&gt;#NV"),#N/A)</f>
        <v>#N/A</v>
      </c>
      <c r="BO279" s="10" t="e">
        <f t="shared" ca="1" si="744"/>
        <v>#N/A</v>
      </c>
      <c r="BP279" s="104" t="e">
        <f t="shared" ca="1" si="647"/>
        <v>#N/A</v>
      </c>
      <c r="BQ279" s="104">
        <f t="shared" ca="1" si="667"/>
        <v>-58379.902511614826</v>
      </c>
      <c r="BR279" s="10">
        <f t="shared" si="694"/>
        <v>9.9166666666666661</v>
      </c>
      <c r="BS279" s="311"/>
      <c r="BT279" s="307"/>
      <c r="BU279" s="295">
        <f t="shared" si="695"/>
        <v>0</v>
      </c>
      <c r="BV279" s="323"/>
      <c r="BW279" s="299">
        <f t="shared" si="696"/>
        <v>0</v>
      </c>
      <c r="BX279" s="295">
        <f t="shared" si="697"/>
        <v>0</v>
      </c>
      <c r="BY279" s="382"/>
      <c r="BZ279" s="299">
        <f t="shared" si="704"/>
        <v>0</v>
      </c>
      <c r="CA279" s="295">
        <f t="shared" si="708"/>
        <v>0</v>
      </c>
      <c r="CB279" s="323"/>
      <c r="CC279" s="314">
        <f>Q279/AQ279*100+BS279/AQ279*100</f>
        <v>0</v>
      </c>
      <c r="CD279" s="326"/>
      <c r="CE279" s="299">
        <f t="shared" si="698"/>
        <v>0</v>
      </c>
      <c r="CF279" s="284">
        <f>CE279-CA279</f>
        <v>0</v>
      </c>
      <c r="CG279" s="323"/>
      <c r="CH279" s="302">
        <f t="shared" si="733"/>
        <v>0</v>
      </c>
      <c r="CI279" s="108">
        <f t="shared" si="699"/>
        <v>0</v>
      </c>
      <c r="CJ279" s="200">
        <f t="shared" si="700"/>
        <v>0</v>
      </c>
      <c r="CK279" s="197">
        <f t="shared" si="714"/>
        <v>0</v>
      </c>
      <c r="CL279" s="203">
        <f t="shared" si="701"/>
        <v>12</v>
      </c>
      <c r="CM279" s="4">
        <f>U279*Jahresdaten!$AD$2</f>
        <v>0</v>
      </c>
      <c r="CN279" s="112">
        <f>CJ279*Jahresdaten!$AD$2</f>
        <v>0</v>
      </c>
      <c r="CO279" s="366"/>
      <c r="CP279" s="116">
        <f>U279*Jahresdaten!$AD$3</f>
        <v>0</v>
      </c>
      <c r="CQ279" s="12">
        <f>CJ279*Jahresdaten!$AD$3</f>
        <v>0</v>
      </c>
      <c r="CR279" s="353"/>
      <c r="CS279" s="14"/>
      <c r="CT279" s="136"/>
      <c r="CU279" s="140" t="str">
        <f>IF(CT279=0,"",CT279*'Vergleich Holz Strom'!$B$2)</f>
        <v/>
      </c>
      <c r="CV279" s="353">
        <f>SUM(CJ278:CJ289)</f>
        <v>0</v>
      </c>
      <c r="CW279" s="366"/>
      <c r="CX279" s="345"/>
      <c r="CY279" s="345"/>
      <c r="CZ279" s="345"/>
      <c r="DA279" s="348"/>
      <c r="DB279" s="94"/>
      <c r="DC279" s="88">
        <f t="shared" si="632"/>
        <v>47121.678000000109</v>
      </c>
      <c r="DD279" s="94"/>
      <c r="DE279" s="88">
        <f t="shared" si="634"/>
        <v>-37147.112546999997</v>
      </c>
      <c r="DF279" s="100" t="e">
        <f ca="1">BE279+(SUM(CS278:CS289)/12)</f>
        <v>#N/A</v>
      </c>
      <c r="DG279" s="351"/>
      <c r="DH279" s="8">
        <f t="shared" ref="DH279:DH289" si="749">DH278+M279+S279+U279</f>
        <v>0</v>
      </c>
      <c r="DI279" s="123">
        <f t="shared" si="648"/>
        <v>3550</v>
      </c>
      <c r="DJ279" s="2">
        <f t="shared" ref="DJ279:DJ289" si="750">DJ278+M279</f>
        <v>0</v>
      </c>
      <c r="DK279" s="127">
        <f>DK289/12*2</f>
        <v>1300</v>
      </c>
      <c r="DL279" s="2">
        <f t="shared" si="618"/>
        <v>650</v>
      </c>
      <c r="DM279" s="130">
        <f t="shared" ref="DM279:DM289" si="751">DM278+S279</f>
        <v>0</v>
      </c>
      <c r="DN279" s="3">
        <f>DN289/12*2</f>
        <v>500</v>
      </c>
      <c r="DO279" s="130">
        <f t="shared" si="620"/>
        <v>250</v>
      </c>
      <c r="DP279" s="4">
        <f t="shared" ref="DP279:DP289" si="752">DP278+U279</f>
        <v>0</v>
      </c>
      <c r="DQ279" s="116">
        <f t="shared" ref="DQ279:DQ288" si="753">DQ278+DR279</f>
        <v>1750</v>
      </c>
      <c r="DR279" s="116">
        <f>DR267</f>
        <v>800</v>
      </c>
    </row>
    <row r="280" spans="1:122" ht="14.25" customHeight="1" thickBot="1" x14ac:dyDescent="0.2">
      <c r="A280" s="416"/>
      <c r="B280" s="16">
        <v>51836</v>
      </c>
      <c r="C280" s="207">
        <f>'PV-Felder'!$I$13</f>
        <v>559.9</v>
      </c>
      <c r="D280" s="351"/>
      <c r="E280" s="61">
        <v>0</v>
      </c>
      <c r="F280" s="351"/>
      <c r="G280" s="56" t="e">
        <f t="shared" ca="1" si="686"/>
        <v>#N/A</v>
      </c>
      <c r="H280" s="351"/>
      <c r="I280" s="61">
        <v>0</v>
      </c>
      <c r="J280" s="351"/>
      <c r="K280" s="61">
        <v>0</v>
      </c>
      <c r="L280" s="351"/>
      <c r="M280" s="65">
        <f t="shared" si="705"/>
        <v>0</v>
      </c>
      <c r="N280" s="373"/>
      <c r="O280" s="288"/>
      <c r="P280" s="288"/>
      <c r="Q280" s="286">
        <f t="shared" si="687"/>
        <v>0</v>
      </c>
      <c r="R280" s="334"/>
      <c r="S280" s="61">
        <v>0</v>
      </c>
      <c r="T280" s="376"/>
      <c r="U280" s="61">
        <v>0</v>
      </c>
      <c r="V280" s="342"/>
      <c r="W280" s="61">
        <v>0</v>
      </c>
      <c r="X280" s="342"/>
      <c r="Y280" s="211" t="e">
        <f t="shared" si="612"/>
        <v>#N/A</v>
      </c>
      <c r="Z280" s="370"/>
      <c r="AA280" s="61">
        <v>0</v>
      </c>
      <c r="AB280" s="351"/>
      <c r="AC280" s="61">
        <v>0</v>
      </c>
      <c r="AD280" s="351"/>
      <c r="AE280" s="73" t="e">
        <f t="shared" si="642"/>
        <v>#N/A</v>
      </c>
      <c r="AF280" s="356"/>
      <c r="AG280" s="73" t="e">
        <f t="shared" si="643"/>
        <v>#N/A</v>
      </c>
      <c r="AH280" s="356"/>
      <c r="AI280" s="221">
        <f t="shared" ref="AI280:AI288" si="754">AI279</f>
        <v>29.26</v>
      </c>
      <c r="AJ280" s="78">
        <f t="shared" ref="AJ280:AN280" si="755">AJ279</f>
        <v>0.26750000000000002</v>
      </c>
      <c r="AK280" s="79">
        <f t="shared" si="755"/>
        <v>9.9166666666666661</v>
      </c>
      <c r="AL280" s="80">
        <f t="shared" si="755"/>
        <v>187</v>
      </c>
      <c r="AM280" s="78">
        <f t="shared" si="755"/>
        <v>9.737942583732058E-2</v>
      </c>
      <c r="AN280" s="80">
        <f t="shared" si="755"/>
        <v>143</v>
      </c>
      <c r="AO280" s="78">
        <f>AO279</f>
        <v>0.21099999999999999</v>
      </c>
      <c r="AP280" s="88">
        <f>AP279</f>
        <v>12</v>
      </c>
      <c r="AQ280" s="64">
        <f t="shared" si="710"/>
        <v>21.5</v>
      </c>
      <c r="AR280" s="64">
        <f t="shared" si="711"/>
        <v>11.5</v>
      </c>
      <c r="AS280" s="88">
        <f t="shared" si="712"/>
        <v>1.1830000000000001</v>
      </c>
      <c r="AT280" s="91">
        <f t="shared" si="718"/>
        <v>0</v>
      </c>
      <c r="AU280" s="94"/>
      <c r="AV280" s="95"/>
      <c r="AW280" s="56">
        <f t="shared" si="689"/>
        <v>0</v>
      </c>
      <c r="AX280" s="351"/>
      <c r="AY280" s="100">
        <f t="shared" si="716"/>
        <v>9.9166666666666661</v>
      </c>
      <c r="AZ280" s="360"/>
      <c r="BA280" s="91">
        <f t="shared" si="748"/>
        <v>-2692.0292136666631</v>
      </c>
      <c r="BB280" s="5">
        <f t="shared" si="645"/>
        <v>-9.9166666666666661</v>
      </c>
      <c r="BC280" s="363"/>
      <c r="BD280" s="91" t="e">
        <f t="shared" ca="1" si="690"/>
        <v>#N/A</v>
      </c>
      <c r="BE280" s="91" t="e">
        <f t="shared" ca="1" si="691"/>
        <v>#N/A</v>
      </c>
      <c r="BF280" s="91">
        <f t="shared" si="692"/>
        <v>31.833333333333329</v>
      </c>
      <c r="BG280" s="91" t="e">
        <f t="shared" ca="1" si="693"/>
        <v>#N/A</v>
      </c>
      <c r="BH280" s="91" t="e">
        <f t="shared" ca="1" si="737"/>
        <v>#N/A</v>
      </c>
      <c r="BI280" s="10" t="e">
        <f t="shared" ca="1" si="707"/>
        <v>#N/A</v>
      </c>
      <c r="BJ280" s="104">
        <f>((M280+Q280)*AJ280+AK280)+((U280-W280+W280/('Vergleich Holz Strom'!$B$8-0.6))*AO280+AP280)</f>
        <v>21.916666666666664</v>
      </c>
      <c r="BK280" s="10" t="e">
        <f t="shared" ca="1" si="646"/>
        <v>#N/A</v>
      </c>
      <c r="BL280" s="379"/>
      <c r="BM280" s="104" t="e">
        <f t="shared" ca="1" si="703"/>
        <v>#N/A</v>
      </c>
      <c r="BN280" s="40" t="e">
        <f ca="1">IF(ISNUMBER(BK280),BN279+SUMIF(BK278:BK289,"&lt;&gt;#NV",BK278:BK289)/COUNTIF(BK278:BK289,"&lt;&gt;#NV"),#N/A)</f>
        <v>#N/A</v>
      </c>
      <c r="BO280" s="10" t="e">
        <f t="shared" ca="1" si="744"/>
        <v>#N/A</v>
      </c>
      <c r="BP280" s="104" t="e">
        <f t="shared" ca="1" si="647"/>
        <v>#N/A</v>
      </c>
      <c r="BQ280" s="104">
        <f t="shared" ca="1" si="667"/>
        <v>-58367.902511614826</v>
      </c>
      <c r="BR280" s="10">
        <f t="shared" si="694"/>
        <v>9.9166666666666661</v>
      </c>
      <c r="BS280" s="311"/>
      <c r="BT280" s="307"/>
      <c r="BU280" s="295">
        <f t="shared" si="695"/>
        <v>0</v>
      </c>
      <c r="BV280" s="323"/>
      <c r="BW280" s="299">
        <f t="shared" si="696"/>
        <v>0</v>
      </c>
      <c r="BX280" s="295">
        <f t="shared" si="697"/>
        <v>0</v>
      </c>
      <c r="BY280" s="382"/>
      <c r="BZ280" s="299">
        <f t="shared" si="704"/>
        <v>0</v>
      </c>
      <c r="CA280" s="295">
        <f t="shared" si="708"/>
        <v>0</v>
      </c>
      <c r="CB280" s="323"/>
      <c r="CC280" s="314">
        <f t="shared" ref="CC280:CC290" si="756">Q280/AQ280*100+BS280/AQ280*100</f>
        <v>0</v>
      </c>
      <c r="CD280" s="326"/>
      <c r="CE280" s="299">
        <f t="shared" si="698"/>
        <v>0</v>
      </c>
      <c r="CF280" s="284">
        <f t="shared" ref="CF280:CF290" si="757">CE280-CA280</f>
        <v>0</v>
      </c>
      <c r="CG280" s="323"/>
      <c r="CH280" s="302">
        <f t="shared" si="733"/>
        <v>0</v>
      </c>
      <c r="CI280" s="108">
        <f t="shared" si="699"/>
        <v>0</v>
      </c>
      <c r="CJ280" s="200">
        <f t="shared" si="700"/>
        <v>0</v>
      </c>
      <c r="CK280" s="197">
        <f t="shared" si="714"/>
        <v>0</v>
      </c>
      <c r="CL280" s="203">
        <f t="shared" si="701"/>
        <v>12</v>
      </c>
      <c r="CM280" s="4">
        <f>U280*Jahresdaten!$AD$2</f>
        <v>0</v>
      </c>
      <c r="CN280" s="112">
        <f>CJ280*Jahresdaten!$AD$2</f>
        <v>0</v>
      </c>
      <c r="CO280" s="366"/>
      <c r="CP280" s="116">
        <f>U280*Jahresdaten!$AD$3</f>
        <v>0</v>
      </c>
      <c r="CQ280" s="12">
        <f>CJ280*Jahresdaten!$AD$3</f>
        <v>0</v>
      </c>
      <c r="CR280" s="353"/>
      <c r="CS280" s="14"/>
      <c r="CT280" s="136"/>
      <c r="CU280" s="140" t="str">
        <f>IF(CT280=0,"",CT280*'Vergleich Holz Strom'!$B$2)</f>
        <v/>
      </c>
      <c r="CV280" s="353"/>
      <c r="CW280" s="366"/>
      <c r="CX280" s="345"/>
      <c r="CY280" s="345"/>
      <c r="CZ280" s="345"/>
      <c r="DA280" s="348"/>
      <c r="DB280" s="94"/>
      <c r="DC280" s="88">
        <f t="shared" si="632"/>
        <v>47298.761333333445</v>
      </c>
      <c r="DD280" s="94"/>
      <c r="DE280" s="88">
        <f t="shared" si="634"/>
        <v>-37290.112546999997</v>
      </c>
      <c r="DF280" s="100" t="e">
        <f ca="1">BE280+(SUM(CS278:CS289)/12)</f>
        <v>#N/A</v>
      </c>
      <c r="DG280" s="351"/>
      <c r="DH280" s="8">
        <f t="shared" si="749"/>
        <v>0</v>
      </c>
      <c r="DI280" s="123">
        <f t="shared" si="648"/>
        <v>5300</v>
      </c>
      <c r="DJ280" s="2">
        <f t="shared" si="750"/>
        <v>0</v>
      </c>
      <c r="DK280" s="127">
        <f>DK289/12*3</f>
        <v>1950</v>
      </c>
      <c r="DL280" s="2">
        <f t="shared" si="618"/>
        <v>650</v>
      </c>
      <c r="DM280" s="130">
        <f t="shared" si="751"/>
        <v>0</v>
      </c>
      <c r="DN280" s="3">
        <f>DN289/12*3</f>
        <v>750</v>
      </c>
      <c r="DO280" s="130">
        <f t="shared" si="620"/>
        <v>250</v>
      </c>
      <c r="DP280" s="4">
        <f t="shared" si="752"/>
        <v>0</v>
      </c>
      <c r="DQ280" s="116">
        <f t="shared" si="753"/>
        <v>2600</v>
      </c>
      <c r="DR280" s="116">
        <f t="shared" ref="DR280:DR288" si="758">DR268</f>
        <v>850.00000000000011</v>
      </c>
    </row>
    <row r="281" spans="1:122" ht="14.25" customHeight="1" thickBot="1" x14ac:dyDescent="0.2">
      <c r="A281" s="416"/>
      <c r="B281" s="16">
        <v>51867</v>
      </c>
      <c r="C281" s="207">
        <f>'PV-Felder'!$I$2</f>
        <v>660.80000000000007</v>
      </c>
      <c r="D281" s="351"/>
      <c r="E281" s="61">
        <v>0</v>
      </c>
      <c r="F281" s="351"/>
      <c r="G281" s="56" t="e">
        <f t="shared" ca="1" si="686"/>
        <v>#N/A</v>
      </c>
      <c r="H281" s="351"/>
      <c r="I281" s="61">
        <v>0</v>
      </c>
      <c r="J281" s="351"/>
      <c r="K281" s="61">
        <v>0</v>
      </c>
      <c r="L281" s="351"/>
      <c r="M281" s="65">
        <f t="shared" si="705"/>
        <v>0</v>
      </c>
      <c r="N281" s="373"/>
      <c r="O281" s="288"/>
      <c r="P281" s="288"/>
      <c r="Q281" s="286">
        <f t="shared" si="687"/>
        <v>0</v>
      </c>
      <c r="R281" s="334"/>
      <c r="S281" s="61">
        <v>0</v>
      </c>
      <c r="T281" s="376"/>
      <c r="U281" s="61">
        <v>0</v>
      </c>
      <c r="V281" s="342"/>
      <c r="W281" s="61">
        <v>0</v>
      </c>
      <c r="X281" s="342"/>
      <c r="Y281" s="211" t="e">
        <f t="shared" si="612"/>
        <v>#N/A</v>
      </c>
      <c r="Z281" s="370"/>
      <c r="AA281" s="61">
        <v>0</v>
      </c>
      <c r="AB281" s="351"/>
      <c r="AC281" s="61">
        <v>0</v>
      </c>
      <c r="AD281" s="351"/>
      <c r="AE281" s="73" t="e">
        <f t="shared" si="642"/>
        <v>#N/A</v>
      </c>
      <c r="AF281" s="356"/>
      <c r="AG281" s="73" t="e">
        <f t="shared" si="643"/>
        <v>#N/A</v>
      </c>
      <c r="AH281" s="356"/>
      <c r="AI281" s="221">
        <f t="shared" si="754"/>
        <v>29.26</v>
      </c>
      <c r="AJ281" s="78">
        <f t="shared" ref="AJ281:AP281" si="759">AJ280</f>
        <v>0.26750000000000002</v>
      </c>
      <c r="AK281" s="79">
        <f t="shared" si="759"/>
        <v>9.9166666666666661</v>
      </c>
      <c r="AL281" s="80">
        <f t="shared" si="759"/>
        <v>187</v>
      </c>
      <c r="AM281" s="78">
        <f t="shared" si="759"/>
        <v>9.737942583732058E-2</v>
      </c>
      <c r="AN281" s="80">
        <f t="shared" si="759"/>
        <v>143</v>
      </c>
      <c r="AO281" s="78">
        <f t="shared" si="759"/>
        <v>0.21099999999999999</v>
      </c>
      <c r="AP281" s="88">
        <f t="shared" si="759"/>
        <v>12</v>
      </c>
      <c r="AQ281" s="64">
        <f t="shared" si="710"/>
        <v>21.5</v>
      </c>
      <c r="AR281" s="64">
        <f t="shared" si="711"/>
        <v>11.5</v>
      </c>
      <c r="AS281" s="88">
        <f t="shared" si="712"/>
        <v>1.1830000000000001</v>
      </c>
      <c r="AT281" s="91">
        <f t="shared" si="718"/>
        <v>0</v>
      </c>
      <c r="AU281" s="94"/>
      <c r="AV281" s="95"/>
      <c r="AW281" s="56">
        <f t="shared" si="689"/>
        <v>0</v>
      </c>
      <c r="AX281" s="351"/>
      <c r="AY281" s="100">
        <f t="shared" si="716"/>
        <v>9.9166666666666661</v>
      </c>
      <c r="AZ281" s="360"/>
      <c r="BA281" s="91">
        <f t="shared" si="748"/>
        <v>-2701.9458803333296</v>
      </c>
      <c r="BB281" s="5">
        <f t="shared" si="645"/>
        <v>-9.9166666666666661</v>
      </c>
      <c r="BC281" s="363"/>
      <c r="BD281" s="91" t="e">
        <f t="shared" ca="1" si="690"/>
        <v>#N/A</v>
      </c>
      <c r="BE281" s="91" t="e">
        <f t="shared" ca="1" si="691"/>
        <v>#N/A</v>
      </c>
      <c r="BF281" s="91">
        <f t="shared" si="692"/>
        <v>31.833333333333329</v>
      </c>
      <c r="BG281" s="91" t="e">
        <f t="shared" ca="1" si="693"/>
        <v>#N/A</v>
      </c>
      <c r="BH281" s="91" t="e">
        <f t="shared" ca="1" si="737"/>
        <v>#N/A</v>
      </c>
      <c r="BI281" s="10" t="e">
        <f t="shared" ca="1" si="707"/>
        <v>#N/A</v>
      </c>
      <c r="BJ281" s="104">
        <f>((M281+Q281)*AJ281+AK281)+((U281-W281+W281/('Vergleich Holz Strom'!$B$8-0.6))*AO281+AP281)</f>
        <v>21.916666666666664</v>
      </c>
      <c r="BK281" s="10" t="e">
        <f t="shared" ca="1" si="646"/>
        <v>#N/A</v>
      </c>
      <c r="BL281" s="379"/>
      <c r="BM281" s="104" t="e">
        <f t="shared" ca="1" si="703"/>
        <v>#N/A</v>
      </c>
      <c r="BN281" s="40" t="e">
        <f ca="1">IF(ISNUMBER(BK281),BN280+SUMIF(BK278:BK289,"&lt;&gt;#NV",BK278:BK289)/COUNTIF(BK278:BK289,"&lt;&gt;#NV"),#N/A)</f>
        <v>#N/A</v>
      </c>
      <c r="BO281" s="10" t="e">
        <f t="shared" ca="1" si="744"/>
        <v>#N/A</v>
      </c>
      <c r="BP281" s="104" t="e">
        <f t="shared" ca="1" si="647"/>
        <v>#N/A</v>
      </c>
      <c r="BQ281" s="104">
        <f t="shared" ca="1" si="667"/>
        <v>-58355.902511614826</v>
      </c>
      <c r="BR281" s="10">
        <f t="shared" si="694"/>
        <v>9.9166666666666661</v>
      </c>
      <c r="BS281" s="311"/>
      <c r="BT281" s="307"/>
      <c r="BU281" s="295">
        <f t="shared" si="695"/>
        <v>0</v>
      </c>
      <c r="BV281" s="323"/>
      <c r="BW281" s="299">
        <f t="shared" si="696"/>
        <v>0</v>
      </c>
      <c r="BX281" s="295">
        <f t="shared" si="697"/>
        <v>0</v>
      </c>
      <c r="BY281" s="382"/>
      <c r="BZ281" s="299">
        <f t="shared" si="704"/>
        <v>0</v>
      </c>
      <c r="CA281" s="295">
        <f t="shared" si="708"/>
        <v>0</v>
      </c>
      <c r="CB281" s="323"/>
      <c r="CC281" s="314">
        <f t="shared" si="756"/>
        <v>0</v>
      </c>
      <c r="CD281" s="326"/>
      <c r="CE281" s="299">
        <f t="shared" si="698"/>
        <v>0</v>
      </c>
      <c r="CF281" s="284">
        <f t="shared" si="757"/>
        <v>0</v>
      </c>
      <c r="CG281" s="323"/>
      <c r="CH281" s="302">
        <f t="shared" si="733"/>
        <v>0</v>
      </c>
      <c r="CI281" s="108">
        <f t="shared" si="699"/>
        <v>0</v>
      </c>
      <c r="CJ281" s="200">
        <f t="shared" si="700"/>
        <v>0</v>
      </c>
      <c r="CK281" s="197">
        <f t="shared" si="714"/>
        <v>0</v>
      </c>
      <c r="CL281" s="203">
        <f t="shared" si="701"/>
        <v>12</v>
      </c>
      <c r="CM281" s="4">
        <f>U281*Jahresdaten!$AD$2</f>
        <v>0</v>
      </c>
      <c r="CN281" s="112">
        <f>CJ281*Jahresdaten!$AD$2</f>
        <v>0</v>
      </c>
      <c r="CO281" s="366"/>
      <c r="CP281" s="116">
        <f>U281*Jahresdaten!$AD$3</f>
        <v>0</v>
      </c>
      <c r="CQ281" s="12">
        <f>CJ281*Jahresdaten!$AD$3</f>
        <v>0</v>
      </c>
      <c r="CR281" s="353"/>
      <c r="CS281" s="14"/>
      <c r="CT281" s="136"/>
      <c r="CU281" s="140" t="str">
        <f>IF(CT281=0,"",CT281*'Vergleich Holz Strom'!$B$2)</f>
        <v/>
      </c>
      <c r="CV281" s="353"/>
      <c r="CW281" s="366"/>
      <c r="CX281" s="345"/>
      <c r="CY281" s="345"/>
      <c r="CZ281" s="345"/>
      <c r="DA281" s="348"/>
      <c r="DB281" s="94"/>
      <c r="DC281" s="88">
        <f t="shared" si="632"/>
        <v>47475.844666666781</v>
      </c>
      <c r="DD281" s="94"/>
      <c r="DE281" s="88">
        <f t="shared" si="634"/>
        <v>-37433.112546999997</v>
      </c>
      <c r="DF281" s="100" t="e">
        <f ca="1">BE281+(SUM(CS278:CS289)/12)</f>
        <v>#N/A</v>
      </c>
      <c r="DG281" s="351"/>
      <c r="DH281" s="8">
        <f t="shared" si="749"/>
        <v>0</v>
      </c>
      <c r="DI281" s="123">
        <f t="shared" si="648"/>
        <v>7350</v>
      </c>
      <c r="DJ281" s="2">
        <f t="shared" si="750"/>
        <v>0</v>
      </c>
      <c r="DK281" s="127">
        <f>DK289/12*4</f>
        <v>2600</v>
      </c>
      <c r="DL281" s="2">
        <f t="shared" si="618"/>
        <v>650</v>
      </c>
      <c r="DM281" s="130">
        <f t="shared" si="751"/>
        <v>0</v>
      </c>
      <c r="DN281" s="3">
        <f>DN289/12*4</f>
        <v>1000</v>
      </c>
      <c r="DO281" s="130">
        <f t="shared" si="620"/>
        <v>250</v>
      </c>
      <c r="DP281" s="4">
        <f t="shared" si="752"/>
        <v>0</v>
      </c>
      <c r="DQ281" s="116">
        <f t="shared" si="753"/>
        <v>3750</v>
      </c>
      <c r="DR281" s="116">
        <f t="shared" si="758"/>
        <v>1150</v>
      </c>
    </row>
    <row r="282" spans="1:122" ht="14.25" customHeight="1" thickBot="1" x14ac:dyDescent="0.2">
      <c r="A282" s="416"/>
      <c r="B282" s="16">
        <v>51898</v>
      </c>
      <c r="C282" s="207">
        <f>'PV-Felder'!$I$3</f>
        <v>922.2</v>
      </c>
      <c r="D282" s="351"/>
      <c r="E282" s="61">
        <v>0</v>
      </c>
      <c r="F282" s="351"/>
      <c r="G282" s="56" t="e">
        <f t="shared" ca="1" si="686"/>
        <v>#N/A</v>
      </c>
      <c r="H282" s="351"/>
      <c r="I282" s="61">
        <v>0</v>
      </c>
      <c r="J282" s="351"/>
      <c r="K282" s="61">
        <v>0</v>
      </c>
      <c r="L282" s="351"/>
      <c r="M282" s="65">
        <f t="shared" si="705"/>
        <v>0</v>
      </c>
      <c r="N282" s="373"/>
      <c r="O282" s="288"/>
      <c r="P282" s="288"/>
      <c r="Q282" s="286">
        <f t="shared" si="687"/>
        <v>0</v>
      </c>
      <c r="R282" s="334"/>
      <c r="S282" s="61">
        <v>0</v>
      </c>
      <c r="T282" s="376"/>
      <c r="U282" s="61">
        <v>0</v>
      </c>
      <c r="V282" s="342"/>
      <c r="W282" s="61">
        <v>0</v>
      </c>
      <c r="X282" s="342"/>
      <c r="Y282" s="211" t="e">
        <f t="shared" si="612"/>
        <v>#N/A</v>
      </c>
      <c r="Z282" s="370"/>
      <c r="AA282" s="61">
        <v>0</v>
      </c>
      <c r="AB282" s="351"/>
      <c r="AC282" s="61">
        <v>0</v>
      </c>
      <c r="AD282" s="351"/>
      <c r="AE282" s="73" t="e">
        <f t="shared" si="642"/>
        <v>#N/A</v>
      </c>
      <c r="AF282" s="356"/>
      <c r="AG282" s="73" t="e">
        <f t="shared" si="643"/>
        <v>#N/A</v>
      </c>
      <c r="AH282" s="356"/>
      <c r="AI282" s="221">
        <f t="shared" si="754"/>
        <v>29.26</v>
      </c>
      <c r="AJ282" s="78">
        <f t="shared" ref="AJ282:AP282" si="760">AJ281</f>
        <v>0.26750000000000002</v>
      </c>
      <c r="AK282" s="79">
        <f t="shared" si="760"/>
        <v>9.9166666666666661</v>
      </c>
      <c r="AL282" s="80">
        <f t="shared" si="760"/>
        <v>187</v>
      </c>
      <c r="AM282" s="78">
        <f t="shared" si="760"/>
        <v>9.737942583732058E-2</v>
      </c>
      <c r="AN282" s="80">
        <f t="shared" si="760"/>
        <v>143</v>
      </c>
      <c r="AO282" s="78">
        <f t="shared" si="760"/>
        <v>0.21099999999999999</v>
      </c>
      <c r="AP282" s="88">
        <f t="shared" si="760"/>
        <v>12</v>
      </c>
      <c r="AQ282" s="64">
        <f t="shared" si="710"/>
        <v>21.5</v>
      </c>
      <c r="AR282" s="64">
        <f t="shared" si="711"/>
        <v>11.5</v>
      </c>
      <c r="AS282" s="88">
        <f t="shared" si="712"/>
        <v>1.1830000000000001</v>
      </c>
      <c r="AT282" s="91">
        <f t="shared" si="718"/>
        <v>0</v>
      </c>
      <c r="AU282" s="94"/>
      <c r="AV282" s="95"/>
      <c r="AW282" s="56">
        <f t="shared" si="689"/>
        <v>0</v>
      </c>
      <c r="AX282" s="351"/>
      <c r="AY282" s="100">
        <f t="shared" si="716"/>
        <v>9.9166666666666661</v>
      </c>
      <c r="AZ282" s="360"/>
      <c r="BA282" s="91">
        <f t="shared" si="748"/>
        <v>-2711.8625469999961</v>
      </c>
      <c r="BB282" s="5">
        <f t="shared" si="645"/>
        <v>-9.9166666666666661</v>
      </c>
      <c r="BC282" s="363"/>
      <c r="BD282" s="91" t="e">
        <f t="shared" ca="1" si="690"/>
        <v>#N/A</v>
      </c>
      <c r="BE282" s="91" t="e">
        <f t="shared" ca="1" si="691"/>
        <v>#N/A</v>
      </c>
      <c r="BF282" s="91">
        <f t="shared" si="692"/>
        <v>31.833333333333329</v>
      </c>
      <c r="BG282" s="91" t="e">
        <f t="shared" ca="1" si="693"/>
        <v>#N/A</v>
      </c>
      <c r="BH282" s="91" t="e">
        <f t="shared" ca="1" si="737"/>
        <v>#N/A</v>
      </c>
      <c r="BI282" s="10" t="e">
        <f t="shared" ca="1" si="707"/>
        <v>#N/A</v>
      </c>
      <c r="BJ282" s="104">
        <f>((M282+Q282)*AJ282+AK282)+((U282-W282+W282/('Vergleich Holz Strom'!$B$8-0.6))*AO282+AP282)</f>
        <v>21.916666666666664</v>
      </c>
      <c r="BK282" s="10" t="e">
        <f t="shared" ca="1" si="646"/>
        <v>#N/A</v>
      </c>
      <c r="BL282" s="379"/>
      <c r="BM282" s="104" t="e">
        <f t="shared" ca="1" si="703"/>
        <v>#N/A</v>
      </c>
      <c r="BN282" s="40" t="e">
        <f ca="1">IF(ISNUMBER(BK282),BN281+SUMIF(BK278:BK289,"&lt;&gt;#NV",BK278:BK289)/COUNTIF(BK278:BK289,"&lt;&gt;#NV"),#N/A)</f>
        <v>#N/A</v>
      </c>
      <c r="BO282" s="10" t="e">
        <f t="shared" ca="1" si="744"/>
        <v>#N/A</v>
      </c>
      <c r="BP282" s="104" t="e">
        <f t="shared" ca="1" si="647"/>
        <v>#N/A</v>
      </c>
      <c r="BQ282" s="104">
        <f t="shared" ca="1" si="667"/>
        <v>-58336.702511614829</v>
      </c>
      <c r="BR282" s="10">
        <f t="shared" si="694"/>
        <v>9.9166666666666661</v>
      </c>
      <c r="BS282" s="311"/>
      <c r="BT282" s="307"/>
      <c r="BU282" s="295">
        <f t="shared" si="695"/>
        <v>0</v>
      </c>
      <c r="BV282" s="323"/>
      <c r="BW282" s="299">
        <f t="shared" si="696"/>
        <v>0</v>
      </c>
      <c r="BX282" s="295">
        <f t="shared" si="697"/>
        <v>0</v>
      </c>
      <c r="BY282" s="382"/>
      <c r="BZ282" s="299">
        <f t="shared" si="704"/>
        <v>0</v>
      </c>
      <c r="CA282" s="295">
        <f t="shared" si="708"/>
        <v>0</v>
      </c>
      <c r="CB282" s="323"/>
      <c r="CC282" s="314">
        <f t="shared" si="756"/>
        <v>0</v>
      </c>
      <c r="CD282" s="326"/>
      <c r="CE282" s="299">
        <f t="shared" si="698"/>
        <v>0</v>
      </c>
      <c r="CF282" s="284">
        <f t="shared" si="757"/>
        <v>0</v>
      </c>
      <c r="CG282" s="323"/>
      <c r="CH282" s="302">
        <f t="shared" si="733"/>
        <v>0</v>
      </c>
      <c r="CI282" s="108">
        <f t="shared" si="699"/>
        <v>0</v>
      </c>
      <c r="CJ282" s="200">
        <f t="shared" si="700"/>
        <v>0</v>
      </c>
      <c r="CK282" s="197">
        <f t="shared" si="714"/>
        <v>0</v>
      </c>
      <c r="CL282" s="203">
        <f t="shared" si="701"/>
        <v>12</v>
      </c>
      <c r="CM282" s="4">
        <f>U282*Jahresdaten!$AD$2</f>
        <v>0</v>
      </c>
      <c r="CN282" s="112">
        <f>CJ282*Jahresdaten!$AD$2</f>
        <v>0</v>
      </c>
      <c r="CO282" s="366"/>
      <c r="CP282" s="116">
        <f>U282*Jahresdaten!$AD$3</f>
        <v>0</v>
      </c>
      <c r="CQ282" s="12">
        <f>CJ282*Jahresdaten!$AD$3</f>
        <v>0</v>
      </c>
      <c r="CR282" s="353"/>
      <c r="CS282" s="14"/>
      <c r="CT282" s="136"/>
      <c r="CU282" s="140" t="str">
        <f>IF(CT282=0,"",CT282*'Vergleich Holz Strom'!$B$2)</f>
        <v/>
      </c>
      <c r="CV282" s="353"/>
      <c r="CW282" s="366"/>
      <c r="CX282" s="345"/>
      <c r="CY282" s="345"/>
      <c r="CZ282" s="345"/>
      <c r="DA282" s="348"/>
      <c r="DB282" s="94"/>
      <c r="DC282" s="88">
        <f t="shared" si="632"/>
        <v>47652.928000000116</v>
      </c>
      <c r="DD282" s="94"/>
      <c r="DE282" s="88">
        <f t="shared" si="634"/>
        <v>-37576.112546999997</v>
      </c>
      <c r="DF282" s="100" t="e">
        <f ca="1">BE282+(SUM(CS278:CS289)/12)</f>
        <v>#N/A</v>
      </c>
      <c r="DG282" s="351"/>
      <c r="DH282" s="8">
        <f t="shared" si="749"/>
        <v>0</v>
      </c>
      <c r="DI282" s="123">
        <f t="shared" si="648"/>
        <v>9600</v>
      </c>
      <c r="DJ282" s="2">
        <f t="shared" si="750"/>
        <v>0</v>
      </c>
      <c r="DK282" s="127">
        <f>DK289/12*5</f>
        <v>3250</v>
      </c>
      <c r="DL282" s="2">
        <f t="shared" si="618"/>
        <v>650</v>
      </c>
      <c r="DM282" s="130">
        <f t="shared" si="751"/>
        <v>0</v>
      </c>
      <c r="DN282" s="3">
        <f>DN289/12*5</f>
        <v>1250</v>
      </c>
      <c r="DO282" s="130">
        <f t="shared" si="620"/>
        <v>250</v>
      </c>
      <c r="DP282" s="4">
        <f t="shared" si="752"/>
        <v>0</v>
      </c>
      <c r="DQ282" s="116">
        <f t="shared" si="753"/>
        <v>5100</v>
      </c>
      <c r="DR282" s="116">
        <f t="shared" si="758"/>
        <v>1350</v>
      </c>
    </row>
    <row r="283" spans="1:122" ht="14.25" customHeight="1" thickBot="1" x14ac:dyDescent="0.2">
      <c r="A283" s="416"/>
      <c r="B283" s="16">
        <v>51926</v>
      </c>
      <c r="C283" s="207">
        <f>'PV-Felder'!$I$4</f>
        <v>1860</v>
      </c>
      <c r="D283" s="351"/>
      <c r="E283" s="61">
        <v>0</v>
      </c>
      <c r="F283" s="351"/>
      <c r="G283" s="56" t="e">
        <f t="shared" ca="1" si="686"/>
        <v>#N/A</v>
      </c>
      <c r="H283" s="351"/>
      <c r="I283" s="61">
        <v>0</v>
      </c>
      <c r="J283" s="351"/>
      <c r="K283" s="61">
        <v>0</v>
      </c>
      <c r="L283" s="351"/>
      <c r="M283" s="65">
        <f t="shared" si="705"/>
        <v>0</v>
      </c>
      <c r="N283" s="373"/>
      <c r="O283" s="288"/>
      <c r="P283" s="288"/>
      <c r="Q283" s="286">
        <f t="shared" si="687"/>
        <v>0</v>
      </c>
      <c r="R283" s="334"/>
      <c r="S283" s="61">
        <v>0</v>
      </c>
      <c r="T283" s="376"/>
      <c r="U283" s="61">
        <v>0</v>
      </c>
      <c r="V283" s="342"/>
      <c r="W283" s="61">
        <v>0</v>
      </c>
      <c r="X283" s="342"/>
      <c r="Y283" s="211" t="e">
        <f t="shared" si="612"/>
        <v>#N/A</v>
      </c>
      <c r="Z283" s="370"/>
      <c r="AA283" s="61">
        <v>0</v>
      </c>
      <c r="AB283" s="351"/>
      <c r="AC283" s="61">
        <v>0</v>
      </c>
      <c r="AD283" s="351"/>
      <c r="AE283" s="73" t="e">
        <f t="shared" si="642"/>
        <v>#N/A</v>
      </c>
      <c r="AF283" s="356"/>
      <c r="AG283" s="73" t="e">
        <f t="shared" si="643"/>
        <v>#N/A</v>
      </c>
      <c r="AH283" s="356"/>
      <c r="AI283" s="221">
        <f t="shared" si="754"/>
        <v>29.26</v>
      </c>
      <c r="AJ283" s="78">
        <f t="shared" ref="AJ283:AP283" si="761">AJ282</f>
        <v>0.26750000000000002</v>
      </c>
      <c r="AK283" s="79">
        <f t="shared" si="761"/>
        <v>9.9166666666666661</v>
      </c>
      <c r="AL283" s="80">
        <f t="shared" si="761"/>
        <v>187</v>
      </c>
      <c r="AM283" s="78">
        <f t="shared" si="761"/>
        <v>9.737942583732058E-2</v>
      </c>
      <c r="AN283" s="80">
        <f t="shared" si="761"/>
        <v>143</v>
      </c>
      <c r="AO283" s="78">
        <f t="shared" si="761"/>
        <v>0.21099999999999999</v>
      </c>
      <c r="AP283" s="88">
        <f t="shared" si="761"/>
        <v>12</v>
      </c>
      <c r="AQ283" s="64">
        <f t="shared" si="710"/>
        <v>21.5</v>
      </c>
      <c r="AR283" s="64">
        <f t="shared" si="711"/>
        <v>11.5</v>
      </c>
      <c r="AS283" s="88">
        <f t="shared" si="712"/>
        <v>1.1830000000000001</v>
      </c>
      <c r="AT283" s="91">
        <f t="shared" si="718"/>
        <v>0</v>
      </c>
      <c r="AU283" s="94"/>
      <c r="AV283" s="95"/>
      <c r="AW283" s="56">
        <f t="shared" si="689"/>
        <v>0</v>
      </c>
      <c r="AX283" s="351"/>
      <c r="AY283" s="100">
        <f t="shared" si="716"/>
        <v>9.9166666666666661</v>
      </c>
      <c r="AZ283" s="360"/>
      <c r="BA283" s="91">
        <f t="shared" si="748"/>
        <v>-2721.7792136666626</v>
      </c>
      <c r="BB283" s="5">
        <f t="shared" si="645"/>
        <v>-9.9166666666666661</v>
      </c>
      <c r="BC283" s="363"/>
      <c r="BD283" s="91" t="e">
        <f t="shared" ca="1" si="690"/>
        <v>#N/A</v>
      </c>
      <c r="BE283" s="91" t="e">
        <f t="shared" ca="1" si="691"/>
        <v>#N/A</v>
      </c>
      <c r="BF283" s="91">
        <f t="shared" si="692"/>
        <v>31.833333333333329</v>
      </c>
      <c r="BG283" s="91" t="e">
        <f t="shared" ca="1" si="693"/>
        <v>#N/A</v>
      </c>
      <c r="BH283" s="91" t="e">
        <f t="shared" ca="1" si="737"/>
        <v>#N/A</v>
      </c>
      <c r="BI283" s="10" t="e">
        <f t="shared" ca="1" si="707"/>
        <v>#N/A</v>
      </c>
      <c r="BJ283" s="104">
        <f>((M283+Q283)*AJ283+AK283)+((U283-W283+W283/('Vergleich Holz Strom'!$B$8-0.6))*AO283+AP283)</f>
        <v>21.916666666666664</v>
      </c>
      <c r="BK283" s="10" t="e">
        <f t="shared" ca="1" si="646"/>
        <v>#N/A</v>
      </c>
      <c r="BL283" s="379"/>
      <c r="BM283" s="104" t="e">
        <f t="shared" ca="1" si="703"/>
        <v>#N/A</v>
      </c>
      <c r="BN283" s="40" t="e">
        <f ca="1">IF(ISNUMBER(BK283),BN282+SUMIF(BK278:BK289,"&lt;&gt;#NV",BK278:BK289)/COUNTIF(BK278:BK289,"&lt;&gt;#NV"),#N/A)</f>
        <v>#N/A</v>
      </c>
      <c r="BO283" s="10" t="e">
        <f t="shared" ca="1" si="744"/>
        <v>#N/A</v>
      </c>
      <c r="BP283" s="104" t="e">
        <f t="shared" ca="1" si="647"/>
        <v>#N/A</v>
      </c>
      <c r="BQ283" s="104">
        <f t="shared" ca="1" si="667"/>
        <v>-58317.502511614832</v>
      </c>
      <c r="BR283" s="10">
        <f t="shared" si="694"/>
        <v>9.9166666666666661</v>
      </c>
      <c r="BS283" s="311"/>
      <c r="BT283" s="307"/>
      <c r="BU283" s="295">
        <f t="shared" si="695"/>
        <v>0</v>
      </c>
      <c r="BV283" s="323"/>
      <c r="BW283" s="299">
        <f t="shared" si="696"/>
        <v>0</v>
      </c>
      <c r="BX283" s="295">
        <f t="shared" si="697"/>
        <v>0</v>
      </c>
      <c r="BY283" s="382"/>
      <c r="BZ283" s="299">
        <f t="shared" si="704"/>
        <v>0</v>
      </c>
      <c r="CA283" s="295">
        <f t="shared" si="708"/>
        <v>0</v>
      </c>
      <c r="CB283" s="323"/>
      <c r="CC283" s="314">
        <f t="shared" si="756"/>
        <v>0</v>
      </c>
      <c r="CD283" s="326"/>
      <c r="CE283" s="299">
        <f t="shared" si="698"/>
        <v>0</v>
      </c>
      <c r="CF283" s="284">
        <f t="shared" si="757"/>
        <v>0</v>
      </c>
      <c r="CG283" s="323"/>
      <c r="CH283" s="302">
        <f t="shared" si="733"/>
        <v>0</v>
      </c>
      <c r="CI283" s="108">
        <f t="shared" si="699"/>
        <v>0</v>
      </c>
      <c r="CJ283" s="200">
        <f t="shared" si="700"/>
        <v>0</v>
      </c>
      <c r="CK283" s="197">
        <f t="shared" si="714"/>
        <v>0</v>
      </c>
      <c r="CL283" s="203">
        <f t="shared" si="701"/>
        <v>12</v>
      </c>
      <c r="CM283" s="4">
        <f>U283*Jahresdaten!$AD$2</f>
        <v>0</v>
      </c>
      <c r="CN283" s="112">
        <f>CJ283*Jahresdaten!$AD$2</f>
        <v>0</v>
      </c>
      <c r="CO283" s="366"/>
      <c r="CP283" s="116">
        <f>U283*Jahresdaten!$AD$3</f>
        <v>0</v>
      </c>
      <c r="CQ283" s="12">
        <f>CJ283*Jahresdaten!$AD$3</f>
        <v>0</v>
      </c>
      <c r="CR283" s="353"/>
      <c r="CS283" s="14"/>
      <c r="CT283" s="136"/>
      <c r="CU283" s="140" t="str">
        <f>IF(CT283=0,"",CT283*'Vergleich Holz Strom'!$B$2)</f>
        <v/>
      </c>
      <c r="CV283" s="353"/>
      <c r="CW283" s="366"/>
      <c r="CX283" s="345"/>
      <c r="CY283" s="345"/>
      <c r="CZ283" s="345"/>
      <c r="DA283" s="348"/>
      <c r="DB283" s="94"/>
      <c r="DC283" s="88">
        <f t="shared" si="632"/>
        <v>47830.011333333452</v>
      </c>
      <c r="DD283" s="94"/>
      <c r="DE283" s="88">
        <f t="shared" si="634"/>
        <v>-37719.112546999997</v>
      </c>
      <c r="DF283" s="100" t="e">
        <f ca="1">BE283+(SUM(CS278:CS289)/12)</f>
        <v>#N/A</v>
      </c>
      <c r="DG283" s="351"/>
      <c r="DH283" s="8">
        <f t="shared" si="749"/>
        <v>0</v>
      </c>
      <c r="DI283" s="123">
        <f t="shared" si="648"/>
        <v>11850</v>
      </c>
      <c r="DJ283" s="2">
        <f t="shared" si="750"/>
        <v>0</v>
      </c>
      <c r="DK283" s="127">
        <f>DK289/12*6</f>
        <v>3900</v>
      </c>
      <c r="DL283" s="2">
        <f t="shared" si="618"/>
        <v>650</v>
      </c>
      <c r="DM283" s="130">
        <f t="shared" si="751"/>
        <v>0</v>
      </c>
      <c r="DN283" s="3">
        <f>DN289/12*6</f>
        <v>1500</v>
      </c>
      <c r="DO283" s="130">
        <f t="shared" si="620"/>
        <v>250</v>
      </c>
      <c r="DP283" s="4">
        <f t="shared" si="752"/>
        <v>0</v>
      </c>
      <c r="DQ283" s="116">
        <f t="shared" si="753"/>
        <v>6450</v>
      </c>
      <c r="DR283" s="116">
        <f t="shared" si="758"/>
        <v>1350</v>
      </c>
    </row>
    <row r="284" spans="1:122" ht="15" customHeight="1" thickBot="1" x14ac:dyDescent="0.2">
      <c r="A284" s="416"/>
      <c r="B284" s="16">
        <v>51957</v>
      </c>
      <c r="C284" s="207">
        <f>'PV-Felder'!$I$5</f>
        <v>2887.3</v>
      </c>
      <c r="D284" s="351"/>
      <c r="E284" s="61">
        <v>0</v>
      </c>
      <c r="F284" s="351"/>
      <c r="G284" s="56" t="e">
        <f t="shared" ca="1" si="686"/>
        <v>#N/A</v>
      </c>
      <c r="H284" s="351"/>
      <c r="I284" s="61">
        <v>0</v>
      </c>
      <c r="J284" s="351"/>
      <c r="K284" s="61">
        <v>0</v>
      </c>
      <c r="L284" s="351"/>
      <c r="M284" s="65">
        <f t="shared" si="705"/>
        <v>0</v>
      </c>
      <c r="N284" s="373"/>
      <c r="O284" s="288"/>
      <c r="P284" s="288"/>
      <c r="Q284" s="286">
        <f t="shared" si="687"/>
        <v>0</v>
      </c>
      <c r="R284" s="334"/>
      <c r="S284" s="61">
        <v>0</v>
      </c>
      <c r="T284" s="376"/>
      <c r="U284" s="61">
        <v>0</v>
      </c>
      <c r="V284" s="342"/>
      <c r="W284" s="61">
        <v>0</v>
      </c>
      <c r="X284" s="342"/>
      <c r="Y284" s="211" t="e">
        <f t="shared" si="612"/>
        <v>#N/A</v>
      </c>
      <c r="Z284" s="370"/>
      <c r="AA284" s="61">
        <v>0</v>
      </c>
      <c r="AB284" s="351"/>
      <c r="AC284" s="61">
        <v>0</v>
      </c>
      <c r="AD284" s="351"/>
      <c r="AE284" s="73" t="e">
        <f t="shared" si="642"/>
        <v>#N/A</v>
      </c>
      <c r="AF284" s="356"/>
      <c r="AG284" s="73" t="e">
        <f t="shared" si="643"/>
        <v>#N/A</v>
      </c>
      <c r="AH284" s="356"/>
      <c r="AI284" s="221">
        <f t="shared" si="754"/>
        <v>29.26</v>
      </c>
      <c r="AJ284" s="78">
        <f t="shared" ref="AJ284:AP284" si="762">AJ283</f>
        <v>0.26750000000000002</v>
      </c>
      <c r="AK284" s="79">
        <f t="shared" si="762"/>
        <v>9.9166666666666661</v>
      </c>
      <c r="AL284" s="80">
        <f t="shared" si="762"/>
        <v>187</v>
      </c>
      <c r="AM284" s="78">
        <f t="shared" si="762"/>
        <v>9.737942583732058E-2</v>
      </c>
      <c r="AN284" s="80">
        <f t="shared" si="762"/>
        <v>143</v>
      </c>
      <c r="AO284" s="78">
        <f t="shared" si="762"/>
        <v>0.21099999999999999</v>
      </c>
      <c r="AP284" s="88">
        <f t="shared" si="762"/>
        <v>12</v>
      </c>
      <c r="AQ284" s="64">
        <f t="shared" si="710"/>
        <v>21.5</v>
      </c>
      <c r="AR284" s="64">
        <f t="shared" si="711"/>
        <v>11.5</v>
      </c>
      <c r="AS284" s="88">
        <f t="shared" si="712"/>
        <v>1.1830000000000001</v>
      </c>
      <c r="AT284" s="91">
        <f t="shared" si="718"/>
        <v>0</v>
      </c>
      <c r="AU284" s="94"/>
      <c r="AV284" s="95"/>
      <c r="AW284" s="56">
        <f t="shared" si="689"/>
        <v>0</v>
      </c>
      <c r="AX284" s="351"/>
      <c r="AY284" s="100">
        <f t="shared" si="716"/>
        <v>9.9166666666666661</v>
      </c>
      <c r="AZ284" s="360"/>
      <c r="BA284" s="91">
        <f t="shared" si="748"/>
        <v>-2731.6958803333291</v>
      </c>
      <c r="BB284" s="5">
        <f t="shared" si="645"/>
        <v>-9.9166666666666661</v>
      </c>
      <c r="BC284" s="363"/>
      <c r="BD284" s="91" t="e">
        <f t="shared" ca="1" si="690"/>
        <v>#N/A</v>
      </c>
      <c r="BE284" s="91" t="e">
        <f t="shared" ca="1" si="691"/>
        <v>#N/A</v>
      </c>
      <c r="BF284" s="91">
        <f t="shared" si="692"/>
        <v>31.833333333333329</v>
      </c>
      <c r="BG284" s="91" t="e">
        <f t="shared" ca="1" si="693"/>
        <v>#N/A</v>
      </c>
      <c r="BH284" s="91" t="e">
        <f t="shared" ca="1" si="737"/>
        <v>#N/A</v>
      </c>
      <c r="BI284" s="10" t="e">
        <f t="shared" ca="1" si="707"/>
        <v>#N/A</v>
      </c>
      <c r="BJ284" s="104">
        <f>((M284+Q284)*AJ284+AK284)+((U284-W284+W284/('Vergleich Holz Strom'!$B$8-0.6))*AO284+AP284)</f>
        <v>21.916666666666664</v>
      </c>
      <c r="BK284" s="10" t="e">
        <f t="shared" ca="1" si="646"/>
        <v>#N/A</v>
      </c>
      <c r="BL284" s="379"/>
      <c r="BM284" s="104" t="e">
        <f t="shared" ca="1" si="703"/>
        <v>#N/A</v>
      </c>
      <c r="BN284" s="40" t="e">
        <f ca="1">IF(ISNUMBER(BK284),BN283+SUMIF(BK278:BK289,"&lt;&gt;#NV",BK278:BK289)/COUNTIF(BK278:BK289,"&lt;&gt;#NV"),#N/A)</f>
        <v>#N/A</v>
      </c>
      <c r="BO284" s="10" t="e">
        <f t="shared" ca="1" si="744"/>
        <v>#N/A</v>
      </c>
      <c r="BP284" s="104" t="e">
        <f t="shared" ca="1" si="647"/>
        <v>#N/A</v>
      </c>
      <c r="BQ284" s="104">
        <f t="shared" ca="1" si="667"/>
        <v>-58298.302511614806</v>
      </c>
      <c r="BR284" s="10">
        <f t="shared" si="694"/>
        <v>9.9166666666666661</v>
      </c>
      <c r="BS284" s="311"/>
      <c r="BT284" s="307"/>
      <c r="BU284" s="295">
        <f t="shared" si="695"/>
        <v>0</v>
      </c>
      <c r="BV284" s="323"/>
      <c r="BW284" s="299">
        <f t="shared" si="696"/>
        <v>0</v>
      </c>
      <c r="BX284" s="295">
        <f t="shared" si="697"/>
        <v>0</v>
      </c>
      <c r="BY284" s="382"/>
      <c r="BZ284" s="299">
        <f t="shared" si="704"/>
        <v>0</v>
      </c>
      <c r="CA284" s="295">
        <f t="shared" si="708"/>
        <v>0</v>
      </c>
      <c r="CB284" s="323"/>
      <c r="CC284" s="314">
        <f t="shared" si="756"/>
        <v>0</v>
      </c>
      <c r="CD284" s="326"/>
      <c r="CE284" s="299">
        <f t="shared" si="698"/>
        <v>0</v>
      </c>
      <c r="CF284" s="284">
        <f t="shared" si="757"/>
        <v>0</v>
      </c>
      <c r="CG284" s="323"/>
      <c r="CH284" s="302">
        <f t="shared" si="733"/>
        <v>0</v>
      </c>
      <c r="CI284" s="108">
        <f t="shared" si="699"/>
        <v>0</v>
      </c>
      <c r="CJ284" s="200">
        <f t="shared" si="700"/>
        <v>0</v>
      </c>
      <c r="CK284" s="197">
        <f t="shared" si="714"/>
        <v>0</v>
      </c>
      <c r="CL284" s="203">
        <f t="shared" si="701"/>
        <v>12</v>
      </c>
      <c r="CM284" s="4">
        <f>U284*Jahresdaten!$AD$2</f>
        <v>0</v>
      </c>
      <c r="CN284" s="112">
        <f>CJ284*Jahresdaten!$AD$2</f>
        <v>0</v>
      </c>
      <c r="CO284" s="366"/>
      <c r="CP284" s="116">
        <f>U284*Jahresdaten!$AD$3</f>
        <v>0</v>
      </c>
      <c r="CQ284" s="12">
        <f>CJ284*Jahresdaten!$AD$3</f>
        <v>0</v>
      </c>
      <c r="CR284" s="353"/>
      <c r="CS284" s="14"/>
      <c r="CT284" s="136"/>
      <c r="CU284" s="140" t="str">
        <f>IF(CT284=0,"",CT284*'Vergleich Holz Strom'!$B$2)</f>
        <v/>
      </c>
      <c r="CV284" s="121" t="s">
        <v>6</v>
      </c>
      <c r="CW284" s="366"/>
      <c r="CX284" s="345"/>
      <c r="CY284" s="345"/>
      <c r="CZ284" s="345"/>
      <c r="DA284" s="348"/>
      <c r="DB284" s="94"/>
      <c r="DC284" s="88">
        <f t="shared" si="632"/>
        <v>48007.094666666788</v>
      </c>
      <c r="DD284" s="94"/>
      <c r="DE284" s="88">
        <f t="shared" si="634"/>
        <v>-37862.112546999997</v>
      </c>
      <c r="DF284" s="100" t="e">
        <f ca="1">BE284+(SUM(CS278:CS289)/12)</f>
        <v>#N/A</v>
      </c>
      <c r="DG284" s="351"/>
      <c r="DH284" s="8">
        <f t="shared" si="749"/>
        <v>0</v>
      </c>
      <c r="DI284" s="123">
        <f t="shared" si="648"/>
        <v>14000</v>
      </c>
      <c r="DJ284" s="2">
        <f t="shared" si="750"/>
        <v>0</v>
      </c>
      <c r="DK284" s="127">
        <f>DK289/12*7</f>
        <v>4550</v>
      </c>
      <c r="DL284" s="2">
        <f t="shared" si="618"/>
        <v>650</v>
      </c>
      <c r="DM284" s="130">
        <f t="shared" si="751"/>
        <v>0</v>
      </c>
      <c r="DN284" s="3">
        <f>DN289/12*7</f>
        <v>1750</v>
      </c>
      <c r="DO284" s="130">
        <f t="shared" si="620"/>
        <v>250</v>
      </c>
      <c r="DP284" s="4">
        <f t="shared" si="752"/>
        <v>0</v>
      </c>
      <c r="DQ284" s="116">
        <f t="shared" si="753"/>
        <v>7700</v>
      </c>
      <c r="DR284" s="116">
        <f t="shared" si="758"/>
        <v>1250</v>
      </c>
    </row>
    <row r="285" spans="1:122" ht="14.25" customHeight="1" thickBot="1" x14ac:dyDescent="0.2">
      <c r="A285" s="416"/>
      <c r="B285" s="16">
        <v>51987</v>
      </c>
      <c r="C285" s="207">
        <f>'PV-Felder'!$I$6</f>
        <v>3391.3999999999996</v>
      </c>
      <c r="D285" s="351"/>
      <c r="E285" s="61">
        <v>0</v>
      </c>
      <c r="F285" s="351"/>
      <c r="G285" s="56" t="e">
        <f t="shared" ca="1" si="686"/>
        <v>#N/A</v>
      </c>
      <c r="H285" s="351"/>
      <c r="I285" s="61">
        <v>0</v>
      </c>
      <c r="J285" s="351"/>
      <c r="K285" s="61">
        <v>0</v>
      </c>
      <c r="L285" s="351"/>
      <c r="M285" s="65">
        <f t="shared" si="705"/>
        <v>0</v>
      </c>
      <c r="N285" s="373"/>
      <c r="O285" s="288"/>
      <c r="P285" s="288"/>
      <c r="Q285" s="286">
        <f t="shared" si="687"/>
        <v>0</v>
      </c>
      <c r="R285" s="334"/>
      <c r="S285" s="61">
        <v>0</v>
      </c>
      <c r="T285" s="376"/>
      <c r="U285" s="61">
        <v>0</v>
      </c>
      <c r="V285" s="342"/>
      <c r="W285" s="61">
        <v>0</v>
      </c>
      <c r="X285" s="342"/>
      <c r="Y285" s="211" t="e">
        <f t="shared" si="612"/>
        <v>#N/A</v>
      </c>
      <c r="Z285" s="370"/>
      <c r="AA285" s="61">
        <v>0</v>
      </c>
      <c r="AB285" s="351"/>
      <c r="AC285" s="61">
        <v>0</v>
      </c>
      <c r="AD285" s="351"/>
      <c r="AE285" s="73" t="e">
        <f t="shared" si="642"/>
        <v>#N/A</v>
      </c>
      <c r="AF285" s="356"/>
      <c r="AG285" s="73" t="e">
        <f t="shared" si="643"/>
        <v>#N/A</v>
      </c>
      <c r="AH285" s="356"/>
      <c r="AI285" s="221">
        <f t="shared" si="754"/>
        <v>29.26</v>
      </c>
      <c r="AJ285" s="78">
        <f t="shared" ref="AJ285:AP285" si="763">AJ284</f>
        <v>0.26750000000000002</v>
      </c>
      <c r="AK285" s="79">
        <f t="shared" si="763"/>
        <v>9.9166666666666661</v>
      </c>
      <c r="AL285" s="80">
        <f t="shared" si="763"/>
        <v>187</v>
      </c>
      <c r="AM285" s="78">
        <f t="shared" si="763"/>
        <v>9.737942583732058E-2</v>
      </c>
      <c r="AN285" s="80">
        <f t="shared" si="763"/>
        <v>143</v>
      </c>
      <c r="AO285" s="78">
        <f t="shared" si="763"/>
        <v>0.21099999999999999</v>
      </c>
      <c r="AP285" s="88">
        <f t="shared" si="763"/>
        <v>12</v>
      </c>
      <c r="AQ285" s="64">
        <f t="shared" si="710"/>
        <v>21.5</v>
      </c>
      <c r="AR285" s="64">
        <f t="shared" si="711"/>
        <v>11.5</v>
      </c>
      <c r="AS285" s="88">
        <f t="shared" si="712"/>
        <v>1.1830000000000001</v>
      </c>
      <c r="AT285" s="91">
        <f t="shared" si="718"/>
        <v>0</v>
      </c>
      <c r="AU285" s="94"/>
      <c r="AV285" s="95"/>
      <c r="AW285" s="56">
        <f t="shared" si="689"/>
        <v>0</v>
      </c>
      <c r="AX285" s="351"/>
      <c r="AY285" s="100">
        <f t="shared" si="716"/>
        <v>9.9166666666666661</v>
      </c>
      <c r="AZ285" s="360"/>
      <c r="BA285" s="91">
        <f t="shared" si="748"/>
        <v>-2741.6125469999956</v>
      </c>
      <c r="BB285" s="5">
        <f t="shared" si="645"/>
        <v>-9.9166666666666661</v>
      </c>
      <c r="BC285" s="363"/>
      <c r="BD285" s="91" t="e">
        <f t="shared" ca="1" si="690"/>
        <v>#N/A</v>
      </c>
      <c r="BE285" s="91" t="e">
        <f t="shared" ca="1" si="691"/>
        <v>#N/A</v>
      </c>
      <c r="BF285" s="91">
        <f t="shared" si="692"/>
        <v>31.833333333333329</v>
      </c>
      <c r="BG285" s="91" t="e">
        <f t="shared" ca="1" si="693"/>
        <v>#N/A</v>
      </c>
      <c r="BH285" s="91" t="e">
        <f t="shared" ca="1" si="737"/>
        <v>#N/A</v>
      </c>
      <c r="BI285" s="10" t="e">
        <f t="shared" ca="1" si="707"/>
        <v>#N/A</v>
      </c>
      <c r="BJ285" s="104">
        <f>((M285+Q285)*AJ285+AK285)+((U285-W285+W285/('Vergleich Holz Strom'!$B$8-0.6))*AO285+AP285)</f>
        <v>21.916666666666664</v>
      </c>
      <c r="BK285" s="10" t="e">
        <f t="shared" ca="1" si="646"/>
        <v>#N/A</v>
      </c>
      <c r="BL285" s="379"/>
      <c r="BM285" s="104" t="e">
        <f t="shared" ca="1" si="703"/>
        <v>#N/A</v>
      </c>
      <c r="BN285" s="40" t="e">
        <f ca="1">IF(ISNUMBER(BK285),BN284+SUMIF(BK278:BK289,"&lt;&gt;#NV",BK278:BK289)/COUNTIF(BK278:BK289,"&lt;&gt;#NV"),#N/A)</f>
        <v>#N/A</v>
      </c>
      <c r="BO285" s="10" t="e">
        <f t="shared" ca="1" si="744"/>
        <v>#N/A</v>
      </c>
      <c r="BP285" s="104" t="e">
        <f t="shared" ca="1" si="647"/>
        <v>#N/A</v>
      </c>
      <c r="BQ285" s="104">
        <f t="shared" ca="1" si="667"/>
        <v>-58279.102511614794</v>
      </c>
      <c r="BR285" s="10">
        <f t="shared" si="694"/>
        <v>9.9166666666666661</v>
      </c>
      <c r="BS285" s="311"/>
      <c r="BT285" s="307"/>
      <c r="BU285" s="295">
        <f t="shared" si="695"/>
        <v>0</v>
      </c>
      <c r="BV285" s="323"/>
      <c r="BW285" s="299">
        <f t="shared" si="696"/>
        <v>0</v>
      </c>
      <c r="BX285" s="295">
        <f t="shared" si="697"/>
        <v>0</v>
      </c>
      <c r="BY285" s="382"/>
      <c r="BZ285" s="299">
        <f t="shared" si="704"/>
        <v>0</v>
      </c>
      <c r="CA285" s="295">
        <f t="shared" si="708"/>
        <v>0</v>
      </c>
      <c r="CB285" s="323"/>
      <c r="CC285" s="314">
        <f t="shared" si="756"/>
        <v>0</v>
      </c>
      <c r="CD285" s="326"/>
      <c r="CE285" s="299">
        <f t="shared" si="698"/>
        <v>0</v>
      </c>
      <c r="CF285" s="284">
        <f t="shared" si="757"/>
        <v>0</v>
      </c>
      <c r="CG285" s="323"/>
      <c r="CH285" s="302">
        <f t="shared" si="733"/>
        <v>0</v>
      </c>
      <c r="CI285" s="108">
        <f t="shared" si="699"/>
        <v>0</v>
      </c>
      <c r="CJ285" s="200">
        <f t="shared" si="700"/>
        <v>0</v>
      </c>
      <c r="CK285" s="197">
        <f t="shared" si="714"/>
        <v>0</v>
      </c>
      <c r="CL285" s="203">
        <f t="shared" si="701"/>
        <v>12</v>
      </c>
      <c r="CM285" s="4">
        <f>U285*Jahresdaten!$AD$2</f>
        <v>0</v>
      </c>
      <c r="CN285" s="112">
        <f>CJ285*Jahresdaten!$AD$2</f>
        <v>0</v>
      </c>
      <c r="CO285" s="366"/>
      <c r="CP285" s="116">
        <f>U285*Jahresdaten!$AD$3</f>
        <v>0</v>
      </c>
      <c r="CQ285" s="12">
        <f>CJ285*Jahresdaten!$AD$3</f>
        <v>0</v>
      </c>
      <c r="CR285" s="353"/>
      <c r="CS285" s="14"/>
      <c r="CT285" s="136"/>
      <c r="CU285" s="140" t="str">
        <f>IF(CT285=0,"",CT285*'Vergleich Holz Strom'!$B$2)</f>
        <v/>
      </c>
      <c r="CV285" s="353">
        <f>SUM(CS278:CS289)</f>
        <v>1169</v>
      </c>
      <c r="CW285" s="366"/>
      <c r="CX285" s="345"/>
      <c r="CY285" s="345"/>
      <c r="CZ285" s="345"/>
      <c r="DA285" s="348"/>
      <c r="DB285" s="94"/>
      <c r="DC285" s="88">
        <f t="shared" si="632"/>
        <v>48184.178000000124</v>
      </c>
      <c r="DD285" s="94"/>
      <c r="DE285" s="88">
        <f t="shared" si="634"/>
        <v>-38005.112546999997</v>
      </c>
      <c r="DF285" s="100" t="e">
        <f ca="1">BE285+(SUM(CS278:CS289)/12)</f>
        <v>#N/A</v>
      </c>
      <c r="DG285" s="351"/>
      <c r="DH285" s="8">
        <f t="shared" si="749"/>
        <v>0</v>
      </c>
      <c r="DI285" s="123">
        <f t="shared" si="648"/>
        <v>16000</v>
      </c>
      <c r="DJ285" s="2">
        <f t="shared" si="750"/>
        <v>0</v>
      </c>
      <c r="DK285" s="127">
        <f>DK289/12*8</f>
        <v>5200</v>
      </c>
      <c r="DL285" s="2">
        <f t="shared" si="618"/>
        <v>650</v>
      </c>
      <c r="DM285" s="130">
        <f t="shared" si="751"/>
        <v>0</v>
      </c>
      <c r="DN285" s="3">
        <f>DN289/12*8</f>
        <v>2000</v>
      </c>
      <c r="DO285" s="130">
        <f t="shared" si="620"/>
        <v>250</v>
      </c>
      <c r="DP285" s="4">
        <f t="shared" si="752"/>
        <v>0</v>
      </c>
      <c r="DQ285" s="116">
        <f t="shared" si="753"/>
        <v>8800</v>
      </c>
      <c r="DR285" s="116">
        <f t="shared" si="758"/>
        <v>1100</v>
      </c>
    </row>
    <row r="286" spans="1:122" ht="14.25" customHeight="1" thickBot="1" x14ac:dyDescent="0.2">
      <c r="A286" s="416"/>
      <c r="B286" s="16">
        <v>52018</v>
      </c>
      <c r="C286" s="207">
        <f>'PV-Felder'!$I$7</f>
        <v>3595.6000000000004</v>
      </c>
      <c r="D286" s="351"/>
      <c r="E286" s="61">
        <v>0</v>
      </c>
      <c r="F286" s="351"/>
      <c r="G286" s="56" t="e">
        <f t="shared" ca="1" si="686"/>
        <v>#N/A</v>
      </c>
      <c r="H286" s="351"/>
      <c r="I286" s="61">
        <v>0</v>
      </c>
      <c r="J286" s="351"/>
      <c r="K286" s="61">
        <v>0</v>
      </c>
      <c r="L286" s="351"/>
      <c r="M286" s="65">
        <f t="shared" si="705"/>
        <v>0</v>
      </c>
      <c r="N286" s="373"/>
      <c r="O286" s="288"/>
      <c r="P286" s="288"/>
      <c r="Q286" s="286">
        <f t="shared" si="687"/>
        <v>0</v>
      </c>
      <c r="R286" s="334"/>
      <c r="S286" s="61">
        <v>0</v>
      </c>
      <c r="T286" s="376"/>
      <c r="U286" s="61">
        <v>0</v>
      </c>
      <c r="V286" s="342"/>
      <c r="W286" s="61">
        <v>0</v>
      </c>
      <c r="X286" s="342"/>
      <c r="Y286" s="211" t="e">
        <f t="shared" si="612"/>
        <v>#N/A</v>
      </c>
      <c r="Z286" s="370"/>
      <c r="AA286" s="61">
        <v>0</v>
      </c>
      <c r="AB286" s="351"/>
      <c r="AC286" s="61">
        <v>0</v>
      </c>
      <c r="AD286" s="351"/>
      <c r="AE286" s="73" t="e">
        <f t="shared" si="642"/>
        <v>#N/A</v>
      </c>
      <c r="AF286" s="356"/>
      <c r="AG286" s="73" t="e">
        <f t="shared" si="643"/>
        <v>#N/A</v>
      </c>
      <c r="AH286" s="356"/>
      <c r="AI286" s="221">
        <f t="shared" si="754"/>
        <v>29.26</v>
      </c>
      <c r="AJ286" s="78">
        <f t="shared" ref="AJ286:AP286" si="764">AJ285</f>
        <v>0.26750000000000002</v>
      </c>
      <c r="AK286" s="79">
        <f t="shared" si="764"/>
        <v>9.9166666666666661</v>
      </c>
      <c r="AL286" s="80">
        <f t="shared" si="764"/>
        <v>187</v>
      </c>
      <c r="AM286" s="78">
        <f t="shared" si="764"/>
        <v>9.737942583732058E-2</v>
      </c>
      <c r="AN286" s="80">
        <f t="shared" si="764"/>
        <v>143</v>
      </c>
      <c r="AO286" s="78">
        <f t="shared" si="764"/>
        <v>0.21099999999999999</v>
      </c>
      <c r="AP286" s="88">
        <f t="shared" si="764"/>
        <v>12</v>
      </c>
      <c r="AQ286" s="64">
        <f t="shared" si="710"/>
        <v>21.5</v>
      </c>
      <c r="AR286" s="64">
        <f t="shared" si="711"/>
        <v>11.5</v>
      </c>
      <c r="AS286" s="88">
        <f t="shared" si="712"/>
        <v>1.1830000000000001</v>
      </c>
      <c r="AT286" s="91">
        <f t="shared" si="718"/>
        <v>0</v>
      </c>
      <c r="AU286" s="94"/>
      <c r="AV286" s="95"/>
      <c r="AW286" s="56">
        <f t="shared" si="689"/>
        <v>0</v>
      </c>
      <c r="AX286" s="351"/>
      <c r="AY286" s="100">
        <f t="shared" si="716"/>
        <v>9.9166666666666661</v>
      </c>
      <c r="AZ286" s="360"/>
      <c r="BA286" s="91">
        <f t="shared" si="748"/>
        <v>-2751.5292136666621</v>
      </c>
      <c r="BB286" s="5">
        <f t="shared" si="645"/>
        <v>-9.9166666666666661</v>
      </c>
      <c r="BC286" s="363"/>
      <c r="BD286" s="91" t="e">
        <f t="shared" ca="1" si="690"/>
        <v>#N/A</v>
      </c>
      <c r="BE286" s="91" t="e">
        <f t="shared" ca="1" si="691"/>
        <v>#N/A</v>
      </c>
      <c r="BF286" s="91">
        <f t="shared" si="692"/>
        <v>31.833333333333329</v>
      </c>
      <c r="BG286" s="91" t="e">
        <f t="shared" ca="1" si="693"/>
        <v>#N/A</v>
      </c>
      <c r="BH286" s="91" t="e">
        <f t="shared" ca="1" si="737"/>
        <v>#N/A</v>
      </c>
      <c r="BI286" s="10" t="e">
        <f t="shared" ca="1" si="707"/>
        <v>#N/A</v>
      </c>
      <c r="BJ286" s="104">
        <f>((M286+Q286)*AJ286+AK286)+((U286-W286+W286/('Vergleich Holz Strom'!$B$8-0.6))*AO286+AP286)</f>
        <v>21.916666666666664</v>
      </c>
      <c r="BK286" s="10" t="e">
        <f t="shared" ca="1" si="646"/>
        <v>#N/A</v>
      </c>
      <c r="BL286" s="379"/>
      <c r="BM286" s="104" t="e">
        <f t="shared" ca="1" si="703"/>
        <v>#N/A</v>
      </c>
      <c r="BN286" s="40" t="e">
        <f ca="1">IF(ISNUMBER(BK286),BN285+SUMIF(BK278:BK289,"&lt;&gt;#NV",BK278:BK289)/COUNTIF(BK278:BK289,"&lt;&gt;#NV"),#N/A)</f>
        <v>#N/A</v>
      </c>
      <c r="BO286" s="10" t="e">
        <f t="shared" ca="1" si="744"/>
        <v>#N/A</v>
      </c>
      <c r="BP286" s="104" t="e">
        <f t="shared" ca="1" si="647"/>
        <v>#N/A</v>
      </c>
      <c r="BQ286" s="104">
        <f t="shared" ca="1" si="667"/>
        <v>-58262.902514143832</v>
      </c>
      <c r="BR286" s="10">
        <f t="shared" si="694"/>
        <v>9.9166666666666661</v>
      </c>
      <c r="BS286" s="311"/>
      <c r="BT286" s="307"/>
      <c r="BU286" s="295">
        <f t="shared" si="695"/>
        <v>0</v>
      </c>
      <c r="BV286" s="323"/>
      <c r="BW286" s="299">
        <f t="shared" si="696"/>
        <v>0</v>
      </c>
      <c r="BX286" s="295">
        <f t="shared" si="697"/>
        <v>0</v>
      </c>
      <c r="BY286" s="382"/>
      <c r="BZ286" s="299">
        <f t="shared" si="704"/>
        <v>0</v>
      </c>
      <c r="CA286" s="295">
        <f t="shared" si="708"/>
        <v>0</v>
      </c>
      <c r="CB286" s="323"/>
      <c r="CC286" s="314">
        <f t="shared" si="756"/>
        <v>0</v>
      </c>
      <c r="CD286" s="326"/>
      <c r="CE286" s="299">
        <f t="shared" si="698"/>
        <v>0</v>
      </c>
      <c r="CF286" s="284">
        <f t="shared" si="757"/>
        <v>0</v>
      </c>
      <c r="CG286" s="323"/>
      <c r="CH286" s="302">
        <f t="shared" si="733"/>
        <v>0</v>
      </c>
      <c r="CI286" s="108">
        <f t="shared" si="699"/>
        <v>0</v>
      </c>
      <c r="CJ286" s="200">
        <f t="shared" si="700"/>
        <v>0</v>
      </c>
      <c r="CK286" s="197">
        <f t="shared" si="714"/>
        <v>0</v>
      </c>
      <c r="CL286" s="203">
        <f t="shared" si="701"/>
        <v>12</v>
      </c>
      <c r="CM286" s="4">
        <f>U286*Jahresdaten!$AD$2</f>
        <v>0</v>
      </c>
      <c r="CN286" s="112">
        <f>CJ286*Jahresdaten!$AD$2</f>
        <v>0</v>
      </c>
      <c r="CO286" s="366"/>
      <c r="CP286" s="116">
        <f>U286*Jahresdaten!$AD$3</f>
        <v>0</v>
      </c>
      <c r="CQ286" s="12">
        <f>CJ286*Jahresdaten!$AD$3</f>
        <v>0</v>
      </c>
      <c r="CR286" s="353"/>
      <c r="CS286" s="14"/>
      <c r="CT286" s="136"/>
      <c r="CU286" s="140" t="str">
        <f>IF(CT286=0,"",CT286*'Vergleich Holz Strom'!$B$2)</f>
        <v/>
      </c>
      <c r="CV286" s="353"/>
      <c r="CW286" s="366"/>
      <c r="CX286" s="345"/>
      <c r="CY286" s="345"/>
      <c r="CZ286" s="345"/>
      <c r="DA286" s="348"/>
      <c r="DB286" s="94"/>
      <c r="DC286" s="88">
        <f t="shared" si="632"/>
        <v>48361.261333333459</v>
      </c>
      <c r="DD286" s="94"/>
      <c r="DE286" s="88">
        <f t="shared" si="634"/>
        <v>-38148.112546999997</v>
      </c>
      <c r="DF286" s="100" t="e">
        <f ca="1">BE286+(SUM(CS278:CS289)/12)</f>
        <v>#N/A</v>
      </c>
      <c r="DG286" s="351"/>
      <c r="DH286" s="8">
        <f t="shared" si="749"/>
        <v>0</v>
      </c>
      <c r="DI286" s="123">
        <f t="shared" si="648"/>
        <v>17200</v>
      </c>
      <c r="DJ286" s="2">
        <f t="shared" si="750"/>
        <v>0</v>
      </c>
      <c r="DK286" s="127">
        <f>DK289/12*9</f>
        <v>5850</v>
      </c>
      <c r="DL286" s="2">
        <f t="shared" si="618"/>
        <v>650</v>
      </c>
      <c r="DM286" s="130">
        <f t="shared" si="751"/>
        <v>0</v>
      </c>
      <c r="DN286" s="3">
        <f>DN289/12*9</f>
        <v>2250</v>
      </c>
      <c r="DO286" s="130">
        <f t="shared" si="620"/>
        <v>250</v>
      </c>
      <c r="DP286" s="4">
        <f t="shared" si="752"/>
        <v>0</v>
      </c>
      <c r="DQ286" s="116">
        <f t="shared" si="753"/>
        <v>9100</v>
      </c>
      <c r="DR286" s="116">
        <f t="shared" si="758"/>
        <v>300</v>
      </c>
    </row>
    <row r="287" spans="1:122" ht="14.25" customHeight="1" thickBot="1" x14ac:dyDescent="0.2">
      <c r="A287" s="416"/>
      <c r="B287" s="16">
        <v>52048</v>
      </c>
      <c r="C287" s="207">
        <f>'PV-Felder'!$I$8</f>
        <v>3593.8</v>
      </c>
      <c r="D287" s="351"/>
      <c r="E287" s="61">
        <v>0</v>
      </c>
      <c r="F287" s="351"/>
      <c r="G287" s="56" t="e">
        <f t="shared" ca="1" si="686"/>
        <v>#N/A</v>
      </c>
      <c r="H287" s="351"/>
      <c r="I287" s="61">
        <v>0</v>
      </c>
      <c r="J287" s="351"/>
      <c r="K287" s="61">
        <v>0</v>
      </c>
      <c r="L287" s="351"/>
      <c r="M287" s="65">
        <f t="shared" si="705"/>
        <v>0</v>
      </c>
      <c r="N287" s="373"/>
      <c r="O287" s="288"/>
      <c r="P287" s="288"/>
      <c r="Q287" s="286">
        <f t="shared" si="687"/>
        <v>0</v>
      </c>
      <c r="R287" s="334"/>
      <c r="S287" s="61">
        <v>0</v>
      </c>
      <c r="T287" s="376"/>
      <c r="U287" s="61">
        <v>0</v>
      </c>
      <c r="V287" s="342"/>
      <c r="W287" s="61">
        <v>0</v>
      </c>
      <c r="X287" s="342"/>
      <c r="Y287" s="211" t="e">
        <f t="shared" si="612"/>
        <v>#N/A</v>
      </c>
      <c r="Z287" s="370"/>
      <c r="AA287" s="61">
        <v>0</v>
      </c>
      <c r="AB287" s="351"/>
      <c r="AC287" s="61">
        <v>0</v>
      </c>
      <c r="AD287" s="351"/>
      <c r="AE287" s="73" t="e">
        <f t="shared" si="642"/>
        <v>#N/A</v>
      </c>
      <c r="AF287" s="356"/>
      <c r="AG287" s="73" t="e">
        <f t="shared" si="643"/>
        <v>#N/A</v>
      </c>
      <c r="AH287" s="356"/>
      <c r="AI287" s="221">
        <f t="shared" si="754"/>
        <v>29.26</v>
      </c>
      <c r="AJ287" s="78">
        <f t="shared" ref="AJ287:AP287" si="765">AJ286</f>
        <v>0.26750000000000002</v>
      </c>
      <c r="AK287" s="79">
        <f t="shared" si="765"/>
        <v>9.9166666666666661</v>
      </c>
      <c r="AL287" s="80">
        <f t="shared" si="765"/>
        <v>187</v>
      </c>
      <c r="AM287" s="78">
        <f t="shared" si="765"/>
        <v>9.737942583732058E-2</v>
      </c>
      <c r="AN287" s="80">
        <f t="shared" si="765"/>
        <v>143</v>
      </c>
      <c r="AO287" s="78">
        <f t="shared" si="765"/>
        <v>0.21099999999999999</v>
      </c>
      <c r="AP287" s="88">
        <f t="shared" si="765"/>
        <v>12</v>
      </c>
      <c r="AQ287" s="64">
        <f t="shared" si="710"/>
        <v>21.5</v>
      </c>
      <c r="AR287" s="64">
        <f t="shared" si="711"/>
        <v>11.5</v>
      </c>
      <c r="AS287" s="88">
        <f t="shared" si="712"/>
        <v>1.1830000000000001</v>
      </c>
      <c r="AT287" s="91">
        <f t="shared" si="718"/>
        <v>0</v>
      </c>
      <c r="AU287" s="94"/>
      <c r="AV287" s="95"/>
      <c r="AW287" s="56">
        <f t="shared" si="689"/>
        <v>0</v>
      </c>
      <c r="AX287" s="351"/>
      <c r="AY287" s="100">
        <f t="shared" si="716"/>
        <v>9.9166666666666661</v>
      </c>
      <c r="AZ287" s="360"/>
      <c r="BA287" s="91">
        <f t="shared" si="748"/>
        <v>-2761.4458803333287</v>
      </c>
      <c r="BB287" s="5">
        <f t="shared" si="645"/>
        <v>-9.9166666666666661</v>
      </c>
      <c r="BC287" s="363"/>
      <c r="BD287" s="91" t="e">
        <f t="shared" ca="1" si="690"/>
        <v>#N/A</v>
      </c>
      <c r="BE287" s="91" t="e">
        <f t="shared" ca="1" si="691"/>
        <v>#N/A</v>
      </c>
      <c r="BF287" s="91">
        <f t="shared" si="692"/>
        <v>31.833333333333329</v>
      </c>
      <c r="BG287" s="91" t="e">
        <f t="shared" ca="1" si="693"/>
        <v>#N/A</v>
      </c>
      <c r="BH287" s="91" t="e">
        <f t="shared" ca="1" si="737"/>
        <v>#N/A</v>
      </c>
      <c r="BI287" s="10" t="e">
        <f t="shared" ca="1" si="707"/>
        <v>#N/A</v>
      </c>
      <c r="BJ287" s="104">
        <f>((M287+Q287)*AJ287+AK287)+((U287-W287+W287/('Vergleich Holz Strom'!$B$8-0.6))*AO287+AP287)</f>
        <v>21.916666666666664</v>
      </c>
      <c r="BK287" s="10" t="e">
        <f t="shared" ca="1" si="646"/>
        <v>#N/A</v>
      </c>
      <c r="BL287" s="379"/>
      <c r="BM287" s="104" t="e">
        <f t="shared" ca="1" si="703"/>
        <v>#N/A</v>
      </c>
      <c r="BN287" s="40" t="e">
        <f ca="1">IF(ISNUMBER(BK287),BN286+SUMIF(BK278:BK289,"&lt;&gt;#NV",BK278:BK289)/COUNTIF(BK278:BK289,"&lt;&gt;#NV"),#N/A)</f>
        <v>#N/A</v>
      </c>
      <c r="BO287" s="10" t="e">
        <f ca="1">BK287+AT287+AU287</f>
        <v>#N/A</v>
      </c>
      <c r="BP287" s="104" t="e">
        <f t="shared" ca="1" si="647"/>
        <v>#N/A</v>
      </c>
      <c r="BQ287" s="104">
        <f t="shared" ca="1" si="667"/>
        <v>-58246.702516672871</v>
      </c>
      <c r="BR287" s="10">
        <f t="shared" si="694"/>
        <v>9.9166666666666661</v>
      </c>
      <c r="BS287" s="311"/>
      <c r="BT287" s="307"/>
      <c r="BU287" s="295">
        <f t="shared" si="695"/>
        <v>0</v>
      </c>
      <c r="BV287" s="323"/>
      <c r="BW287" s="299">
        <f t="shared" si="696"/>
        <v>0</v>
      </c>
      <c r="BX287" s="295">
        <f t="shared" si="697"/>
        <v>0</v>
      </c>
      <c r="BY287" s="382"/>
      <c r="BZ287" s="299">
        <f t="shared" si="704"/>
        <v>0</v>
      </c>
      <c r="CA287" s="295">
        <f t="shared" si="708"/>
        <v>0</v>
      </c>
      <c r="CB287" s="323"/>
      <c r="CC287" s="314">
        <f t="shared" si="756"/>
        <v>0</v>
      </c>
      <c r="CD287" s="326"/>
      <c r="CE287" s="299">
        <f t="shared" si="698"/>
        <v>0</v>
      </c>
      <c r="CF287" s="284">
        <f t="shared" si="757"/>
        <v>0</v>
      </c>
      <c r="CG287" s="323"/>
      <c r="CH287" s="302">
        <f t="shared" si="733"/>
        <v>0</v>
      </c>
      <c r="CI287" s="108">
        <f t="shared" si="699"/>
        <v>0</v>
      </c>
      <c r="CJ287" s="200">
        <f t="shared" si="700"/>
        <v>0</v>
      </c>
      <c r="CK287" s="197">
        <f t="shared" si="714"/>
        <v>0</v>
      </c>
      <c r="CL287" s="203">
        <f t="shared" si="701"/>
        <v>12</v>
      </c>
      <c r="CM287" s="4">
        <f>U287*Jahresdaten!$AD$2</f>
        <v>0</v>
      </c>
      <c r="CN287" s="112">
        <f>CJ287*Jahresdaten!$AD$2</f>
        <v>0</v>
      </c>
      <c r="CO287" s="366"/>
      <c r="CP287" s="116">
        <f>U287*Jahresdaten!$AD$3</f>
        <v>0</v>
      </c>
      <c r="CQ287" s="12">
        <f>CJ287*Jahresdaten!$AD$3</f>
        <v>0</v>
      </c>
      <c r="CR287" s="353"/>
      <c r="CS287" s="14"/>
      <c r="CT287" s="136"/>
      <c r="CU287" s="140" t="str">
        <f>IF(CT287=0,"",CT287*'Vergleich Holz Strom'!$B$2)</f>
        <v/>
      </c>
      <c r="CV287" s="353"/>
      <c r="CW287" s="366"/>
      <c r="CX287" s="345"/>
      <c r="CY287" s="345"/>
      <c r="CZ287" s="345"/>
      <c r="DA287" s="348"/>
      <c r="DB287" s="94"/>
      <c r="DC287" s="88">
        <f t="shared" si="632"/>
        <v>48538.344666666795</v>
      </c>
      <c r="DD287" s="94"/>
      <c r="DE287" s="88">
        <f t="shared" si="634"/>
        <v>-38291.112546999997</v>
      </c>
      <c r="DF287" s="100" t="e">
        <f ca="1">BE287+(SUM(CS278:CS289)/12)</f>
        <v>#N/A</v>
      </c>
      <c r="DG287" s="351"/>
      <c r="DH287" s="8">
        <f t="shared" si="749"/>
        <v>0</v>
      </c>
      <c r="DI287" s="123">
        <f t="shared" si="648"/>
        <v>18250</v>
      </c>
      <c r="DJ287" s="2">
        <f t="shared" si="750"/>
        <v>0</v>
      </c>
      <c r="DK287" s="127">
        <f>DK289/12*10</f>
        <v>6500</v>
      </c>
      <c r="DL287" s="2">
        <f t="shared" si="618"/>
        <v>650</v>
      </c>
      <c r="DM287" s="130">
        <f t="shared" si="751"/>
        <v>0</v>
      </c>
      <c r="DN287" s="3">
        <f>DN289/12*10</f>
        <v>2500</v>
      </c>
      <c r="DO287" s="130">
        <f t="shared" si="620"/>
        <v>250</v>
      </c>
      <c r="DP287" s="4">
        <f t="shared" si="752"/>
        <v>0</v>
      </c>
      <c r="DQ287" s="116">
        <f t="shared" si="753"/>
        <v>9250</v>
      </c>
      <c r="DR287" s="116">
        <f t="shared" si="758"/>
        <v>150</v>
      </c>
    </row>
    <row r="288" spans="1:122" ht="14.25" customHeight="1" thickBot="1" x14ac:dyDescent="0.2">
      <c r="A288" s="416"/>
      <c r="B288" s="16">
        <v>52079</v>
      </c>
      <c r="C288" s="207">
        <f>'PV-Felder'!$I$9</f>
        <v>3065.7</v>
      </c>
      <c r="D288" s="351"/>
      <c r="E288" s="61">
        <v>0</v>
      </c>
      <c r="F288" s="351"/>
      <c r="G288" s="56" t="e">
        <f t="shared" ca="1" si="686"/>
        <v>#N/A</v>
      </c>
      <c r="H288" s="351"/>
      <c r="I288" s="61">
        <v>0</v>
      </c>
      <c r="J288" s="351"/>
      <c r="K288" s="61">
        <v>0</v>
      </c>
      <c r="L288" s="351"/>
      <c r="M288" s="65">
        <f t="shared" si="705"/>
        <v>0</v>
      </c>
      <c r="N288" s="373"/>
      <c r="O288" s="288"/>
      <c r="P288" s="288"/>
      <c r="Q288" s="286">
        <f t="shared" si="687"/>
        <v>0</v>
      </c>
      <c r="R288" s="334"/>
      <c r="S288" s="61">
        <v>0</v>
      </c>
      <c r="T288" s="376"/>
      <c r="U288" s="61">
        <v>0</v>
      </c>
      <c r="V288" s="342"/>
      <c r="W288" s="61">
        <v>0</v>
      </c>
      <c r="X288" s="342"/>
      <c r="Y288" s="211" t="e">
        <f t="shared" si="612"/>
        <v>#N/A</v>
      </c>
      <c r="Z288" s="370"/>
      <c r="AA288" s="61">
        <v>0</v>
      </c>
      <c r="AB288" s="351"/>
      <c r="AC288" s="61">
        <v>0</v>
      </c>
      <c r="AD288" s="351"/>
      <c r="AE288" s="73" t="e">
        <f t="shared" si="642"/>
        <v>#N/A</v>
      </c>
      <c r="AF288" s="356"/>
      <c r="AG288" s="73" t="e">
        <f t="shared" si="643"/>
        <v>#N/A</v>
      </c>
      <c r="AH288" s="356"/>
      <c r="AI288" s="221">
        <f t="shared" si="754"/>
        <v>29.26</v>
      </c>
      <c r="AJ288" s="78">
        <f t="shared" ref="AJ288:AP288" si="766">AJ287</f>
        <v>0.26750000000000002</v>
      </c>
      <c r="AK288" s="79">
        <f t="shared" si="766"/>
        <v>9.9166666666666661</v>
      </c>
      <c r="AL288" s="80">
        <f t="shared" si="766"/>
        <v>187</v>
      </c>
      <c r="AM288" s="78">
        <f t="shared" si="766"/>
        <v>9.737942583732058E-2</v>
      </c>
      <c r="AN288" s="80">
        <f t="shared" si="766"/>
        <v>143</v>
      </c>
      <c r="AO288" s="78">
        <f t="shared" si="766"/>
        <v>0.21099999999999999</v>
      </c>
      <c r="AP288" s="88">
        <f t="shared" si="766"/>
        <v>12</v>
      </c>
      <c r="AQ288" s="64">
        <f t="shared" si="710"/>
        <v>21.5</v>
      </c>
      <c r="AR288" s="64">
        <f t="shared" si="711"/>
        <v>11.5</v>
      </c>
      <c r="AS288" s="88">
        <f t="shared" si="712"/>
        <v>1.1830000000000001</v>
      </c>
      <c r="AT288" s="91">
        <f t="shared" si="718"/>
        <v>0</v>
      </c>
      <c r="AU288" s="94"/>
      <c r="AV288" s="95"/>
      <c r="AW288" s="56">
        <f t="shared" si="689"/>
        <v>0</v>
      </c>
      <c r="AX288" s="351"/>
      <c r="AY288" s="100">
        <f t="shared" si="716"/>
        <v>9.9166666666666661</v>
      </c>
      <c r="AZ288" s="360"/>
      <c r="BA288" s="91">
        <f t="shared" si="748"/>
        <v>-2771.3625469999952</v>
      </c>
      <c r="BB288" s="5">
        <f t="shared" si="645"/>
        <v>-9.9166666666666661</v>
      </c>
      <c r="BC288" s="363"/>
      <c r="BD288" s="91" t="e">
        <f t="shared" ca="1" si="690"/>
        <v>#N/A</v>
      </c>
      <c r="BE288" s="91" t="e">
        <f t="shared" ca="1" si="691"/>
        <v>#N/A</v>
      </c>
      <c r="BF288" s="91">
        <f t="shared" si="692"/>
        <v>31.833333333333329</v>
      </c>
      <c r="BG288" s="91" t="e">
        <f t="shared" ca="1" si="693"/>
        <v>#N/A</v>
      </c>
      <c r="BH288" s="91" t="e">
        <f t="shared" ca="1" si="737"/>
        <v>#N/A</v>
      </c>
      <c r="BI288" s="10" t="e">
        <f t="shared" ca="1" si="707"/>
        <v>#N/A</v>
      </c>
      <c r="BJ288" s="104">
        <f>((M288+Q288)*AJ288+AK288)+((U288-W288+W288/('Vergleich Holz Strom'!$B$8-0.6))*AO288+AP288)</f>
        <v>21.916666666666664</v>
      </c>
      <c r="BK288" s="10" t="e">
        <f t="shared" ca="1" si="646"/>
        <v>#N/A</v>
      </c>
      <c r="BL288" s="379"/>
      <c r="BM288" s="104" t="e">
        <f t="shared" ca="1" si="703"/>
        <v>#N/A</v>
      </c>
      <c r="BN288" s="40" t="e">
        <f ca="1">IF(ISNUMBER(BK288),BN287+SUMIF(BK278:BK289,"&lt;&gt;#NV",BK278:BK289)/COUNTIF(BK278:BK289,"&lt;&gt;#NV"),#N/A)</f>
        <v>#N/A</v>
      </c>
      <c r="BO288" s="10" t="e">
        <f t="shared" ref="BO288:BO298" ca="1" si="767">BK288+AT288+AU288</f>
        <v>#N/A</v>
      </c>
      <c r="BP288" s="104" t="e">
        <f t="shared" ca="1" si="647"/>
        <v>#N/A</v>
      </c>
      <c r="BQ288" s="104">
        <f t="shared" ca="1" si="667"/>
        <v>-58230.502519201909</v>
      </c>
      <c r="BR288" s="10">
        <f t="shared" si="694"/>
        <v>9.9166666666666661</v>
      </c>
      <c r="BS288" s="311"/>
      <c r="BT288" s="307"/>
      <c r="BU288" s="295">
        <f t="shared" si="695"/>
        <v>0</v>
      </c>
      <c r="BV288" s="323"/>
      <c r="BW288" s="299">
        <f t="shared" si="696"/>
        <v>0</v>
      </c>
      <c r="BX288" s="295">
        <f t="shared" si="697"/>
        <v>0</v>
      </c>
      <c r="BY288" s="382"/>
      <c r="BZ288" s="299">
        <f t="shared" si="704"/>
        <v>0</v>
      </c>
      <c r="CA288" s="295">
        <f t="shared" si="708"/>
        <v>0</v>
      </c>
      <c r="CB288" s="323"/>
      <c r="CC288" s="314">
        <f t="shared" si="756"/>
        <v>0</v>
      </c>
      <c r="CD288" s="326"/>
      <c r="CE288" s="299">
        <f t="shared" si="698"/>
        <v>0</v>
      </c>
      <c r="CF288" s="284">
        <f t="shared" si="757"/>
        <v>0</v>
      </c>
      <c r="CG288" s="323"/>
      <c r="CH288" s="302">
        <f t="shared" si="733"/>
        <v>0</v>
      </c>
      <c r="CI288" s="108">
        <f t="shared" si="699"/>
        <v>0</v>
      </c>
      <c r="CJ288" s="200">
        <f t="shared" si="700"/>
        <v>0</v>
      </c>
      <c r="CK288" s="197">
        <f t="shared" si="714"/>
        <v>0</v>
      </c>
      <c r="CL288" s="203">
        <f t="shared" si="701"/>
        <v>12</v>
      </c>
      <c r="CM288" s="4">
        <f>U288*Jahresdaten!$AD$2</f>
        <v>0</v>
      </c>
      <c r="CN288" s="112">
        <f>CJ288*Jahresdaten!$AD$2</f>
        <v>0</v>
      </c>
      <c r="CO288" s="366"/>
      <c r="CP288" s="116">
        <f>U288*Jahresdaten!$AD$3</f>
        <v>0</v>
      </c>
      <c r="CQ288" s="12">
        <f>CJ288*Jahresdaten!$AD$3</f>
        <v>0</v>
      </c>
      <c r="CR288" s="353"/>
      <c r="CS288" s="14"/>
      <c r="CT288" s="136"/>
      <c r="CU288" s="140" t="str">
        <f>IF(CT288=0,"",CT288*'Vergleich Holz Strom'!$B$2)</f>
        <v/>
      </c>
      <c r="CV288" s="353"/>
      <c r="CW288" s="366"/>
      <c r="CX288" s="345"/>
      <c r="CY288" s="345"/>
      <c r="CZ288" s="345"/>
      <c r="DA288" s="348"/>
      <c r="DB288" s="94"/>
      <c r="DC288" s="88">
        <f t="shared" si="632"/>
        <v>48715.428000000131</v>
      </c>
      <c r="DD288" s="94"/>
      <c r="DE288" s="88">
        <f t="shared" si="634"/>
        <v>-38434.112546999997</v>
      </c>
      <c r="DF288" s="100" t="e">
        <f ca="1">BE288+(SUM(CS278:CS289)/12)</f>
        <v>#N/A</v>
      </c>
      <c r="DG288" s="351"/>
      <c r="DH288" s="8">
        <f t="shared" si="749"/>
        <v>0</v>
      </c>
      <c r="DI288" s="123">
        <f t="shared" si="648"/>
        <v>19300</v>
      </c>
      <c r="DJ288" s="2">
        <f t="shared" si="750"/>
        <v>0</v>
      </c>
      <c r="DK288" s="127">
        <f>DK289/12*11</f>
        <v>7150</v>
      </c>
      <c r="DL288" s="2">
        <f t="shared" si="618"/>
        <v>650</v>
      </c>
      <c r="DM288" s="130">
        <f t="shared" si="751"/>
        <v>0</v>
      </c>
      <c r="DN288" s="3">
        <f>DN289/12*11</f>
        <v>2750</v>
      </c>
      <c r="DO288" s="130">
        <f t="shared" si="620"/>
        <v>250</v>
      </c>
      <c r="DP288" s="4">
        <f t="shared" si="752"/>
        <v>0</v>
      </c>
      <c r="DQ288" s="116">
        <f t="shared" si="753"/>
        <v>9400</v>
      </c>
      <c r="DR288" s="116">
        <f t="shared" si="758"/>
        <v>150</v>
      </c>
    </row>
    <row r="289" spans="1:122" s="28" customFormat="1" ht="15" customHeight="1" thickBot="1" x14ac:dyDescent="0.2">
      <c r="A289" s="417"/>
      <c r="B289" s="18">
        <v>52110</v>
      </c>
      <c r="C289" s="208">
        <f>'PV-Felder'!$I$10</f>
        <v>2246.7000000000003</v>
      </c>
      <c r="D289" s="352"/>
      <c r="E289" s="63">
        <v>0</v>
      </c>
      <c r="F289" s="352"/>
      <c r="G289" s="57" t="e">
        <f t="shared" ca="1" si="686"/>
        <v>#N/A</v>
      </c>
      <c r="H289" s="352"/>
      <c r="I289" s="63">
        <v>0</v>
      </c>
      <c r="J289" s="352"/>
      <c r="K289" s="63">
        <v>0</v>
      </c>
      <c r="L289" s="352"/>
      <c r="M289" s="67">
        <f t="shared" si="705"/>
        <v>0</v>
      </c>
      <c r="N289" s="374"/>
      <c r="O289" s="290"/>
      <c r="P289" s="290"/>
      <c r="Q289" s="289">
        <f t="shared" si="687"/>
        <v>0</v>
      </c>
      <c r="R289" s="334"/>
      <c r="S289" s="63">
        <v>0</v>
      </c>
      <c r="T289" s="377"/>
      <c r="U289" s="63">
        <v>0</v>
      </c>
      <c r="V289" s="343"/>
      <c r="W289" s="63">
        <v>0</v>
      </c>
      <c r="X289" s="343"/>
      <c r="Y289" s="213" t="e">
        <f t="shared" si="612"/>
        <v>#N/A</v>
      </c>
      <c r="Z289" s="371"/>
      <c r="AA289" s="63">
        <v>0</v>
      </c>
      <c r="AB289" s="352"/>
      <c r="AC289" s="63">
        <v>0</v>
      </c>
      <c r="AD289" s="352"/>
      <c r="AE289" s="75" t="e">
        <f t="shared" si="642"/>
        <v>#N/A</v>
      </c>
      <c r="AF289" s="357"/>
      <c r="AG289" s="75" t="e">
        <f t="shared" si="643"/>
        <v>#N/A</v>
      </c>
      <c r="AH289" s="357"/>
      <c r="AI289" s="223">
        <f>AI288</f>
        <v>29.26</v>
      </c>
      <c r="AJ289" s="83">
        <f t="shared" ref="AJ289:AP289" si="768">AJ288</f>
        <v>0.26750000000000002</v>
      </c>
      <c r="AK289" s="21">
        <f t="shared" si="768"/>
        <v>9.9166666666666661</v>
      </c>
      <c r="AL289" s="84">
        <f t="shared" si="768"/>
        <v>187</v>
      </c>
      <c r="AM289" s="83">
        <f t="shared" si="768"/>
        <v>9.737942583732058E-2</v>
      </c>
      <c r="AN289" s="84">
        <f t="shared" si="768"/>
        <v>143</v>
      </c>
      <c r="AO289" s="83">
        <f t="shared" si="768"/>
        <v>0.21099999999999999</v>
      </c>
      <c r="AP289" s="90">
        <f t="shared" si="768"/>
        <v>12</v>
      </c>
      <c r="AQ289" s="125">
        <f t="shared" si="710"/>
        <v>21.5</v>
      </c>
      <c r="AR289" s="125">
        <f t="shared" si="711"/>
        <v>11.5</v>
      </c>
      <c r="AS289" s="92">
        <f t="shared" si="712"/>
        <v>1.1830000000000001</v>
      </c>
      <c r="AT289" s="92">
        <f t="shared" si="718"/>
        <v>0</v>
      </c>
      <c r="AU289" s="98"/>
      <c r="AV289" s="99"/>
      <c r="AW289" s="57">
        <f t="shared" si="689"/>
        <v>0</v>
      </c>
      <c r="AX289" s="352"/>
      <c r="AY289" s="102">
        <f t="shared" si="716"/>
        <v>9.9166666666666661</v>
      </c>
      <c r="AZ289" s="361"/>
      <c r="BA289" s="92">
        <f t="shared" si="748"/>
        <v>-2781.2792136666617</v>
      </c>
      <c r="BB289" s="22">
        <f t="shared" si="645"/>
        <v>-9.9166666666666661</v>
      </c>
      <c r="BC289" s="364"/>
      <c r="BD289" s="92" t="e">
        <f t="shared" ca="1" si="690"/>
        <v>#N/A</v>
      </c>
      <c r="BE289" s="92" t="e">
        <f t="shared" ca="1" si="691"/>
        <v>#N/A</v>
      </c>
      <c r="BF289" s="92">
        <f t="shared" si="692"/>
        <v>31.833333333333329</v>
      </c>
      <c r="BG289" s="92" t="e">
        <f t="shared" ca="1" si="693"/>
        <v>#N/A</v>
      </c>
      <c r="BH289" s="92" t="e">
        <f t="shared" ca="1" si="737"/>
        <v>#N/A</v>
      </c>
      <c r="BI289" s="24" t="e">
        <f t="shared" ca="1" si="707"/>
        <v>#N/A</v>
      </c>
      <c r="BJ289" s="106">
        <f>((M289+Q289)*AJ289+AK289)+((U289-W289+W289/('Vergleich Holz Strom'!$B$8-0.6))*AO289+AP289)</f>
        <v>21.916666666666664</v>
      </c>
      <c r="BK289" s="24" t="e">
        <f t="shared" ca="1" si="646"/>
        <v>#N/A</v>
      </c>
      <c r="BL289" s="380"/>
      <c r="BM289" s="106" t="e">
        <f t="shared" ca="1" si="703"/>
        <v>#N/A</v>
      </c>
      <c r="BN289" s="226" t="e">
        <f ca="1">IF(ISNUMBER(BK289),BN288+SUMIF(BK278:BK289,"&lt;&gt;#NV",BK278:BK289)/COUNTIF(BK278:BK289,"&lt;&gt;#NV"),#N/A)</f>
        <v>#N/A</v>
      </c>
      <c r="BO289" s="318" t="e">
        <f t="shared" ca="1" si="767"/>
        <v>#N/A</v>
      </c>
      <c r="BP289" s="106" t="e">
        <f t="shared" ca="1" si="647"/>
        <v>#N/A</v>
      </c>
      <c r="BQ289" s="106">
        <f t="shared" ca="1" si="667"/>
        <v>-58214.302521730948</v>
      </c>
      <c r="BR289" s="24">
        <f t="shared" si="694"/>
        <v>9.9166666666666661</v>
      </c>
      <c r="BS289" s="312"/>
      <c r="BT289" s="308"/>
      <c r="BU289" s="296">
        <f t="shared" si="695"/>
        <v>0</v>
      </c>
      <c r="BV289" s="324"/>
      <c r="BW289" s="292">
        <f t="shared" si="696"/>
        <v>0</v>
      </c>
      <c r="BX289" s="295">
        <f t="shared" si="697"/>
        <v>0</v>
      </c>
      <c r="BY289" s="382"/>
      <c r="BZ289" s="299">
        <f t="shared" si="704"/>
        <v>0</v>
      </c>
      <c r="CA289" s="296">
        <f t="shared" si="708"/>
        <v>0</v>
      </c>
      <c r="CB289" s="324"/>
      <c r="CC289" s="315">
        <f t="shared" si="756"/>
        <v>0</v>
      </c>
      <c r="CD289" s="327"/>
      <c r="CE289" s="292">
        <f t="shared" si="698"/>
        <v>0</v>
      </c>
      <c r="CF289" s="296">
        <f t="shared" si="757"/>
        <v>0</v>
      </c>
      <c r="CG289" s="324"/>
      <c r="CH289" s="303">
        <f t="shared" si="733"/>
        <v>0</v>
      </c>
      <c r="CI289" s="110">
        <f t="shared" si="699"/>
        <v>0</v>
      </c>
      <c r="CJ289" s="200">
        <f t="shared" si="700"/>
        <v>0</v>
      </c>
      <c r="CK289" s="25">
        <f t="shared" si="714"/>
        <v>0</v>
      </c>
      <c r="CL289" s="204">
        <f t="shared" si="701"/>
        <v>12</v>
      </c>
      <c r="CM289" s="26">
        <f>U289*Jahresdaten!$AD$2</f>
        <v>0</v>
      </c>
      <c r="CN289" s="114">
        <f>CJ289*Jahresdaten!$AD$2</f>
        <v>0</v>
      </c>
      <c r="CO289" s="346"/>
      <c r="CP289" s="118">
        <f>U289*Jahresdaten!$AD$3</f>
        <v>0</v>
      </c>
      <c r="CQ289" s="25">
        <f>CJ289*Jahresdaten!$AD$3</f>
        <v>0</v>
      </c>
      <c r="CR289" s="354"/>
      <c r="CS289" s="23"/>
      <c r="CT289" s="138"/>
      <c r="CU289" s="141" t="str">
        <f>IF(CT289=0,"",CT289*'Vergleich Holz Strom'!$B$2)</f>
        <v/>
      </c>
      <c r="CV289" s="354"/>
      <c r="CW289" s="346"/>
      <c r="CX289" s="346"/>
      <c r="CY289" s="346"/>
      <c r="CZ289" s="346"/>
      <c r="DA289" s="349"/>
      <c r="DB289" s="98"/>
      <c r="DC289" s="90">
        <f t="shared" si="632"/>
        <v>48892.511333333467</v>
      </c>
      <c r="DD289" s="98"/>
      <c r="DE289" s="90">
        <f t="shared" si="634"/>
        <v>-38577.112546999997</v>
      </c>
      <c r="DF289" s="102" t="e">
        <f ca="1">BE289+(SUM(CS278:CS289)/12)</f>
        <v>#N/A</v>
      </c>
      <c r="DG289" s="352"/>
      <c r="DH289" s="19">
        <f t="shared" si="749"/>
        <v>0</v>
      </c>
      <c r="DI289" s="125">
        <f t="shared" si="648"/>
        <v>20800</v>
      </c>
      <c r="DJ289" s="20">
        <f t="shared" si="750"/>
        <v>0</v>
      </c>
      <c r="DK289" s="129">
        <f>DK277</f>
        <v>7800</v>
      </c>
      <c r="DL289" s="20">
        <f t="shared" si="618"/>
        <v>650</v>
      </c>
      <c r="DM289" s="132">
        <f t="shared" si="751"/>
        <v>0</v>
      </c>
      <c r="DN289" s="27">
        <f>DN277</f>
        <v>3000</v>
      </c>
      <c r="DO289" s="132">
        <f t="shared" si="620"/>
        <v>250</v>
      </c>
      <c r="DP289" s="26">
        <f t="shared" si="752"/>
        <v>0</v>
      </c>
      <c r="DQ289" s="118">
        <f>DQ277</f>
        <v>10000</v>
      </c>
      <c r="DR289" s="118">
        <f>DR277</f>
        <v>600</v>
      </c>
    </row>
    <row r="290" spans="1:122" ht="15" customHeight="1" thickBot="1" x14ac:dyDescent="0.2">
      <c r="A290" s="415" t="s">
        <v>182</v>
      </c>
      <c r="B290" s="16">
        <v>52140</v>
      </c>
      <c r="C290" s="207">
        <f>'PV-Felder'!$I$11</f>
        <v>1416.7</v>
      </c>
      <c r="D290" s="358">
        <f>SUMIF(E290:E301,"&gt;0",C290:C301)</f>
        <v>0</v>
      </c>
      <c r="E290" s="61">
        <v>0</v>
      </c>
      <c r="F290" s="368">
        <f>SUM(E290:E301)</f>
        <v>0</v>
      </c>
      <c r="G290" s="58" t="e">
        <f t="shared" ca="1" si="686"/>
        <v>#N/A</v>
      </c>
      <c r="H290" s="358" t="e">
        <f ca="1">IF(TODAY()&lt;B290,#N/A,F290-D290)</f>
        <v>#N/A</v>
      </c>
      <c r="I290" s="61">
        <v>0</v>
      </c>
      <c r="J290" s="368">
        <f>SUM(I290:I301)</f>
        <v>0</v>
      </c>
      <c r="K290" s="61">
        <v>0</v>
      </c>
      <c r="L290" s="368">
        <f>SUM(K290:K301)</f>
        <v>0</v>
      </c>
      <c r="M290" s="66">
        <f t="shared" si="705"/>
        <v>0</v>
      </c>
      <c r="N290" s="372">
        <f>SUM(M290:M301)</f>
        <v>0</v>
      </c>
      <c r="Q290" s="287">
        <f t="shared" si="687"/>
        <v>0</v>
      </c>
      <c r="R290" s="335">
        <f>SUM(Q290:Q301)</f>
        <v>0</v>
      </c>
      <c r="S290" s="61">
        <v>0</v>
      </c>
      <c r="T290" s="375">
        <f>SUM(S290:S301)</f>
        <v>0</v>
      </c>
      <c r="U290" s="61">
        <v>0</v>
      </c>
      <c r="V290" s="341">
        <f>SUM(U290:U301)</f>
        <v>0</v>
      </c>
      <c r="W290" s="61">
        <v>0</v>
      </c>
      <c r="X290" s="341">
        <f>SUM(W290:W301)</f>
        <v>0</v>
      </c>
      <c r="Y290" s="211" t="e">
        <f t="shared" si="612"/>
        <v>#N/A</v>
      </c>
      <c r="Z290" s="369">
        <f>N290+T290+V290</f>
        <v>0</v>
      </c>
      <c r="AA290" s="62">
        <v>0</v>
      </c>
      <c r="AB290" s="368">
        <f>SUM(AA290:AA301)</f>
        <v>0</v>
      </c>
      <c r="AC290" s="62">
        <v>0</v>
      </c>
      <c r="AD290" s="368">
        <f>SUM(AC290:AC301)</f>
        <v>0</v>
      </c>
      <c r="AE290" s="74" t="e">
        <f t="shared" si="642"/>
        <v>#N/A</v>
      </c>
      <c r="AF290" s="355" t="e">
        <f>IF(SUMIF(AE290:AE301,"&gt;0")&gt;0,SUMIF(AE290:AE301,"&gt;0")/COUNTIF(AE290:AE301,"&gt;0"),#N/A)</f>
        <v>#N/A</v>
      </c>
      <c r="AG290" s="73" t="e">
        <f t="shared" si="643"/>
        <v>#N/A</v>
      </c>
      <c r="AH290" s="355" t="e">
        <f>IF(SUMIF(AG290:AG301,"&gt;0")&gt;0,SUMIF(AG290:AG301,"&gt;0")/COUNTIF(AG290:AG301,"&gt;0"),#N/A)</f>
        <v>#N/A</v>
      </c>
      <c r="AI290" s="222">
        <f>AI289</f>
        <v>29.26</v>
      </c>
      <c r="AJ290" s="78">
        <f t="shared" ref="AJ290:AP290" si="769">AJ289</f>
        <v>0.26750000000000002</v>
      </c>
      <c r="AK290" s="79">
        <f t="shared" si="769"/>
        <v>9.9166666666666661</v>
      </c>
      <c r="AL290" s="80">
        <f t="shared" si="769"/>
        <v>187</v>
      </c>
      <c r="AM290" s="78">
        <f t="shared" si="769"/>
        <v>9.737942583732058E-2</v>
      </c>
      <c r="AN290" s="80">
        <f t="shared" si="769"/>
        <v>143</v>
      </c>
      <c r="AO290" s="78">
        <f t="shared" si="769"/>
        <v>0.21099999999999999</v>
      </c>
      <c r="AP290" s="88">
        <f t="shared" si="769"/>
        <v>12</v>
      </c>
      <c r="AQ290" s="64">
        <f t="shared" si="710"/>
        <v>21.5</v>
      </c>
      <c r="AR290" s="64">
        <f t="shared" si="711"/>
        <v>11.5</v>
      </c>
      <c r="AS290" s="88">
        <f t="shared" si="712"/>
        <v>1.1830000000000001</v>
      </c>
      <c r="AT290" s="91">
        <f t="shared" si="718"/>
        <v>0</v>
      </c>
      <c r="AU290" s="94"/>
      <c r="AV290" s="95"/>
      <c r="AW290" s="56">
        <f t="shared" si="689"/>
        <v>0</v>
      </c>
      <c r="AX290" s="358">
        <f>SUM(AW290:AW301)</f>
        <v>0</v>
      </c>
      <c r="AY290" s="100">
        <f t="shared" si="716"/>
        <v>9.9166666666666661</v>
      </c>
      <c r="AZ290" s="359">
        <f>SUM(AY290:AY301)</f>
        <v>119.00000000000001</v>
      </c>
      <c r="BA290" s="103">
        <f>BA289-AY290</f>
        <v>-2791.1958803333282</v>
      </c>
      <c r="BB290" s="5">
        <f t="shared" si="645"/>
        <v>-9.9166666666666661</v>
      </c>
      <c r="BC290" s="362">
        <f>SUM(AY290:AY301)/12</f>
        <v>9.9166666666666679</v>
      </c>
      <c r="BD290" s="91" t="e">
        <f t="shared" ca="1" si="690"/>
        <v>#N/A</v>
      </c>
      <c r="BE290" s="91" t="e">
        <f t="shared" ca="1" si="691"/>
        <v>#N/A</v>
      </c>
      <c r="BF290" s="91">
        <f t="shared" si="692"/>
        <v>31.833333333333329</v>
      </c>
      <c r="BG290" s="91" t="e">
        <f t="shared" ca="1" si="693"/>
        <v>#N/A</v>
      </c>
      <c r="BH290" s="91" t="e">
        <f t="shared" ca="1" si="737"/>
        <v>#N/A</v>
      </c>
      <c r="BI290" s="10" t="e">
        <f t="shared" ca="1" si="707"/>
        <v>#N/A</v>
      </c>
      <c r="BJ290" s="104">
        <f>((M290+Q290)*AJ290+AK290)+((U290-W290+W290/('Vergleich Holz Strom'!$B$8-0.6))*AO290+AP290)</f>
        <v>21.916666666666664</v>
      </c>
      <c r="BK290" s="10" t="e">
        <f t="shared" ca="1" si="646"/>
        <v>#N/A</v>
      </c>
      <c r="BL290" s="378">
        <f ca="1">SUMIF(BK290:BK301,"&lt;&gt;#NV",BK290:BK301)</f>
        <v>0</v>
      </c>
      <c r="BM290" s="104" t="e">
        <f t="shared" ca="1" si="703"/>
        <v>#N/A</v>
      </c>
      <c r="BN290" s="40" t="e">
        <f ca="1">IF(ISNUMBER(BK290),BN289+SUMIF(BK290:BK301,"&lt;&gt;#NV",BK290:BK301)/COUNTIF(BK290:BK301,"&lt;&gt;#NV"),#N/A)</f>
        <v>#N/A</v>
      </c>
      <c r="BO290" s="10" t="e">
        <f t="shared" ca="1" si="767"/>
        <v>#N/A</v>
      </c>
      <c r="BP290" s="105" t="e">
        <f t="shared" ca="1" si="647"/>
        <v>#N/A</v>
      </c>
      <c r="BQ290" s="104">
        <f t="shared" ca="1" si="667"/>
        <v>-58202.302521730948</v>
      </c>
      <c r="BR290" s="10">
        <f t="shared" si="694"/>
        <v>9.9166666666666661</v>
      </c>
      <c r="BS290" s="311"/>
      <c r="BT290" s="307"/>
      <c r="BU290" s="295">
        <f t="shared" si="695"/>
        <v>0</v>
      </c>
      <c r="BV290" s="322">
        <f>SUM(BU290:BU301)</f>
        <v>0</v>
      </c>
      <c r="BW290" s="300">
        <f t="shared" si="696"/>
        <v>0</v>
      </c>
      <c r="BX290" s="305">
        <f t="shared" si="697"/>
        <v>0</v>
      </c>
      <c r="BY290" s="381">
        <f>SUM(BX290:BX301)</f>
        <v>0</v>
      </c>
      <c r="BZ290" s="300">
        <f t="shared" si="704"/>
        <v>0</v>
      </c>
      <c r="CA290" s="295">
        <f t="shared" si="708"/>
        <v>0</v>
      </c>
      <c r="CB290" s="322">
        <f>SUM(CA290:CA301)</f>
        <v>0</v>
      </c>
      <c r="CC290" s="314">
        <f t="shared" si="756"/>
        <v>0</v>
      </c>
      <c r="CD290" s="325">
        <f>SUM(CC290:CC301)</f>
        <v>0</v>
      </c>
      <c r="CE290" s="299">
        <f t="shared" si="698"/>
        <v>0</v>
      </c>
      <c r="CF290" s="284">
        <f t="shared" si="757"/>
        <v>0</v>
      </c>
      <c r="CG290" s="328">
        <f>SUM(CF290:CF301)</f>
        <v>0</v>
      </c>
      <c r="CH290" s="302">
        <f t="shared" si="733"/>
        <v>0</v>
      </c>
      <c r="CI290" s="108">
        <f t="shared" si="699"/>
        <v>0</v>
      </c>
      <c r="CJ290" s="201">
        <f t="shared" si="700"/>
        <v>0</v>
      </c>
      <c r="CK290" s="197">
        <f t="shared" si="714"/>
        <v>0</v>
      </c>
      <c r="CL290" s="203">
        <f t="shared" si="701"/>
        <v>12</v>
      </c>
      <c r="CM290" s="4">
        <f>U290*Jahresdaten!$AD$2</f>
        <v>0</v>
      </c>
      <c r="CN290" s="112">
        <f>CJ290*Jahresdaten!$AD$2</f>
        <v>0</v>
      </c>
      <c r="CO290" s="365">
        <f>CW290*Jahresdaten!$AD$2</f>
        <v>856.59076092206669</v>
      </c>
      <c r="CP290" s="116">
        <f>U290*Jahresdaten!$AD$3</f>
        <v>0</v>
      </c>
      <c r="CQ290" s="12">
        <f>CJ290*Jahresdaten!$AD$3</f>
        <v>0</v>
      </c>
      <c r="CR290" s="367">
        <f>CW290*Jahresdaten!$AD$3</f>
        <v>312.40923907793319</v>
      </c>
      <c r="CS290" s="14">
        <f>CS278</f>
        <v>1169</v>
      </c>
      <c r="CT290" s="136">
        <f>CT278</f>
        <v>12</v>
      </c>
      <c r="CU290" s="140">
        <f>IF(CT290=0,"",CT290*'Vergleich Holz Strom'!$B$2)</f>
        <v>25800</v>
      </c>
      <c r="CV290" s="120" t="s">
        <v>7</v>
      </c>
      <c r="CW290" s="365">
        <f>CV291+CV297</f>
        <v>1169</v>
      </c>
      <c r="CX290" s="344">
        <f>SUM(CS290:CS301)/SUM(CU290:CU301)*(SUM(CU290:CU301)+(V290*('Vergleich Holz Strom'!$B$8-0.6)/'Vergleich Holz Strom'!$E$6))</f>
        <v>1169</v>
      </c>
      <c r="CY290" s="344">
        <f>SUM(CU290:CU301)*'Vergleich Holz Strom'!$E$6/('Vergleich Holz Strom'!$B$8-0.6)*(SUM(AJ290:AJ301)/12)+CV291</f>
        <v>1420.8970588235295</v>
      </c>
      <c r="CZ290" s="344">
        <f>SUM(CU290:CU301)*'Vergleich Holz Strom'!$E$6/('Vergleich Holz Strom'!$B$8-0.6)*SUM(AM290:AM301)/12+SUM(CK290:CK301)</f>
        <v>517.25659724176774</v>
      </c>
      <c r="DA290" s="347">
        <f>SUM(CU290:CU301)*'Vergleich Holz Strom'!$E$6/('Vergleich Holz Strom'!$B$8-0.6)*(SUM(AO290:AO301)/12)+SUM(CL290:CL301)</f>
        <v>1264.7823529411764</v>
      </c>
      <c r="DB290" s="94"/>
      <c r="DC290" s="88">
        <f t="shared" si="632"/>
        <v>49069.594666666802</v>
      </c>
      <c r="DD290" s="94"/>
      <c r="DE290" s="88">
        <f t="shared" si="634"/>
        <v>-38720.112546999997</v>
      </c>
      <c r="DF290" s="100" t="e">
        <f ca="1">BE290+(SUM(CS290:CS301)/12)</f>
        <v>#N/A</v>
      </c>
      <c r="DG290" s="350">
        <f ca="1">SUMIF(DF290:DF301,"&gt;0")</f>
        <v>0</v>
      </c>
      <c r="DH290" s="8">
        <f>M290+S290+U290</f>
        <v>0</v>
      </c>
      <c r="DI290" s="123">
        <f t="shared" si="648"/>
        <v>1850</v>
      </c>
      <c r="DJ290" s="2">
        <f>M290</f>
        <v>0</v>
      </c>
      <c r="DK290" s="127">
        <f>DK301/12*1</f>
        <v>650</v>
      </c>
      <c r="DL290" s="2">
        <f>DL289</f>
        <v>650</v>
      </c>
      <c r="DM290" s="130">
        <f>S290</f>
        <v>0</v>
      </c>
      <c r="DN290" s="3">
        <f>DN301/12*1</f>
        <v>250</v>
      </c>
      <c r="DO290" s="130">
        <f>DO289</f>
        <v>250</v>
      </c>
      <c r="DP290" s="4">
        <f>U290</f>
        <v>0</v>
      </c>
      <c r="DQ290" s="116">
        <f>DR290</f>
        <v>950</v>
      </c>
      <c r="DR290" s="116">
        <f>DR278</f>
        <v>950</v>
      </c>
    </row>
    <row r="291" spans="1:122" ht="14.25" customHeight="1" thickBot="1" x14ac:dyDescent="0.2">
      <c r="A291" s="416"/>
      <c r="B291" s="16">
        <v>52171</v>
      </c>
      <c r="C291" s="207">
        <f>'PV-Felder'!$I$12</f>
        <v>739.6</v>
      </c>
      <c r="D291" s="351"/>
      <c r="E291" s="61">
        <v>0</v>
      </c>
      <c r="F291" s="351"/>
      <c r="G291" s="56" t="e">
        <f t="shared" ca="1" si="686"/>
        <v>#N/A</v>
      </c>
      <c r="H291" s="351"/>
      <c r="I291" s="61">
        <v>0</v>
      </c>
      <c r="J291" s="351"/>
      <c r="K291" s="61">
        <v>0</v>
      </c>
      <c r="L291" s="351"/>
      <c r="M291" s="65">
        <f t="shared" si="705"/>
        <v>0</v>
      </c>
      <c r="N291" s="373"/>
      <c r="O291" s="288"/>
      <c r="P291" s="288"/>
      <c r="Q291" s="286">
        <f t="shared" si="687"/>
        <v>0</v>
      </c>
      <c r="R291" s="336"/>
      <c r="S291" s="61">
        <v>0</v>
      </c>
      <c r="T291" s="376"/>
      <c r="U291" s="61">
        <v>0</v>
      </c>
      <c r="V291" s="342"/>
      <c r="W291" s="61">
        <v>0</v>
      </c>
      <c r="X291" s="342"/>
      <c r="Y291" s="211" t="e">
        <f t="shared" si="612"/>
        <v>#N/A</v>
      </c>
      <c r="Z291" s="370"/>
      <c r="AA291" s="61">
        <v>0</v>
      </c>
      <c r="AB291" s="351"/>
      <c r="AC291" s="61">
        <v>0</v>
      </c>
      <c r="AD291" s="351"/>
      <c r="AE291" s="73" t="e">
        <f t="shared" si="642"/>
        <v>#N/A</v>
      </c>
      <c r="AF291" s="356"/>
      <c r="AG291" s="73" t="e">
        <f t="shared" si="643"/>
        <v>#N/A</v>
      </c>
      <c r="AH291" s="356"/>
      <c r="AI291" s="221">
        <f>AI290</f>
        <v>29.26</v>
      </c>
      <c r="AJ291" s="78">
        <f t="shared" ref="AJ291:AN291" si="770">AJ290</f>
        <v>0.26750000000000002</v>
      </c>
      <c r="AK291" s="79">
        <f t="shared" si="770"/>
        <v>9.9166666666666661</v>
      </c>
      <c r="AL291" s="80">
        <f t="shared" si="770"/>
        <v>187</v>
      </c>
      <c r="AM291" s="78">
        <f t="shared" si="770"/>
        <v>9.737942583732058E-2</v>
      </c>
      <c r="AN291" s="80">
        <f t="shared" si="770"/>
        <v>143</v>
      </c>
      <c r="AO291" s="78">
        <f>AO290</f>
        <v>0.21099999999999999</v>
      </c>
      <c r="AP291" s="88">
        <f>AP290</f>
        <v>12</v>
      </c>
      <c r="AQ291" s="64">
        <f t="shared" si="710"/>
        <v>21.5</v>
      </c>
      <c r="AR291" s="64">
        <f t="shared" si="711"/>
        <v>11.5</v>
      </c>
      <c r="AS291" s="88">
        <f t="shared" si="712"/>
        <v>1.1830000000000001</v>
      </c>
      <c r="AT291" s="91">
        <f t="shared" si="718"/>
        <v>0</v>
      </c>
      <c r="AU291" s="94"/>
      <c r="AV291" s="95"/>
      <c r="AW291" s="56">
        <f t="shared" si="689"/>
        <v>0</v>
      </c>
      <c r="AX291" s="351"/>
      <c r="AY291" s="100">
        <f t="shared" si="716"/>
        <v>9.9166666666666661</v>
      </c>
      <c r="AZ291" s="360"/>
      <c r="BA291" s="91">
        <f t="shared" ref="BA291:BA301" si="771">BA290-AY291</f>
        <v>-2801.1125469999947</v>
      </c>
      <c r="BB291" s="5">
        <f t="shared" si="645"/>
        <v>-9.9166666666666661</v>
      </c>
      <c r="BC291" s="363"/>
      <c r="BD291" s="91" t="e">
        <f t="shared" ca="1" si="690"/>
        <v>#N/A</v>
      </c>
      <c r="BE291" s="91" t="e">
        <f t="shared" ca="1" si="691"/>
        <v>#N/A</v>
      </c>
      <c r="BF291" s="91">
        <f t="shared" si="692"/>
        <v>31.833333333333329</v>
      </c>
      <c r="BG291" s="91" t="e">
        <f t="shared" ca="1" si="693"/>
        <v>#N/A</v>
      </c>
      <c r="BH291" s="91" t="e">
        <f t="shared" ca="1" si="737"/>
        <v>#N/A</v>
      </c>
      <c r="BI291" s="10" t="e">
        <f t="shared" ca="1" si="707"/>
        <v>#N/A</v>
      </c>
      <c r="BJ291" s="104">
        <f>((M291+Q291)*AJ291+AK291)+((U291-W291+W291/('Vergleich Holz Strom'!$B$8-0.6))*AO291+AP291)</f>
        <v>21.916666666666664</v>
      </c>
      <c r="BK291" s="10" t="e">
        <f t="shared" ca="1" si="646"/>
        <v>#N/A</v>
      </c>
      <c r="BL291" s="379"/>
      <c r="BM291" s="104" t="e">
        <f t="shared" ca="1" si="703"/>
        <v>#N/A</v>
      </c>
      <c r="BN291" s="40" t="e">
        <f ca="1">IF(ISNUMBER(BK291),BN290+SUMIF(BK290:BK301,"&lt;&gt;#NV",BK290:BK301)/COUNTIF(BK290:BK301,"&lt;&gt;#NV"),#N/A)</f>
        <v>#N/A</v>
      </c>
      <c r="BO291" s="10" t="e">
        <f t="shared" ca="1" si="767"/>
        <v>#N/A</v>
      </c>
      <c r="BP291" s="104" t="e">
        <f t="shared" ca="1" si="647"/>
        <v>#N/A</v>
      </c>
      <c r="BQ291" s="104">
        <f t="shared" ca="1" si="667"/>
        <v>-58190.302521730948</v>
      </c>
      <c r="BR291" s="10">
        <f t="shared" si="694"/>
        <v>9.9166666666666661</v>
      </c>
      <c r="BS291" s="311"/>
      <c r="BT291" s="307"/>
      <c r="BU291" s="295">
        <f t="shared" si="695"/>
        <v>0</v>
      </c>
      <c r="BV291" s="323"/>
      <c r="BW291" s="299">
        <f t="shared" si="696"/>
        <v>0</v>
      </c>
      <c r="BX291" s="295">
        <f t="shared" si="697"/>
        <v>0</v>
      </c>
      <c r="BY291" s="382"/>
      <c r="BZ291" s="299">
        <f t="shared" si="704"/>
        <v>0</v>
      </c>
      <c r="CA291" s="295">
        <f t="shared" si="708"/>
        <v>0</v>
      </c>
      <c r="CB291" s="323"/>
      <c r="CC291" s="314">
        <f>Q291/AQ291*100+BS291/AQ291*100</f>
        <v>0</v>
      </c>
      <c r="CD291" s="326"/>
      <c r="CE291" s="299">
        <f t="shared" si="698"/>
        <v>0</v>
      </c>
      <c r="CF291" s="284">
        <f>CE291-CA291</f>
        <v>0</v>
      </c>
      <c r="CG291" s="323"/>
      <c r="CH291" s="302">
        <f t="shared" si="733"/>
        <v>0</v>
      </c>
      <c r="CI291" s="108">
        <f t="shared" si="699"/>
        <v>0</v>
      </c>
      <c r="CJ291" s="200">
        <f t="shared" si="700"/>
        <v>0</v>
      </c>
      <c r="CK291" s="197">
        <f t="shared" si="714"/>
        <v>0</v>
      </c>
      <c r="CL291" s="203">
        <f t="shared" si="701"/>
        <v>12</v>
      </c>
      <c r="CM291" s="4">
        <f>U291*Jahresdaten!$AD$2</f>
        <v>0</v>
      </c>
      <c r="CN291" s="112">
        <f>CJ291*Jahresdaten!$AD$2</f>
        <v>0</v>
      </c>
      <c r="CO291" s="366"/>
      <c r="CP291" s="116">
        <f>U291*Jahresdaten!$AD$3</f>
        <v>0</v>
      </c>
      <c r="CQ291" s="12">
        <f>CJ291*Jahresdaten!$AD$3</f>
        <v>0</v>
      </c>
      <c r="CR291" s="353"/>
      <c r="CS291" s="14"/>
      <c r="CT291" s="136"/>
      <c r="CU291" s="140" t="str">
        <f>IF(CT291=0,"",CT291*'Vergleich Holz Strom'!$B$2)</f>
        <v/>
      </c>
      <c r="CV291" s="353">
        <f>SUM(CJ290:CJ301)</f>
        <v>0</v>
      </c>
      <c r="CW291" s="366"/>
      <c r="CX291" s="345"/>
      <c r="CY291" s="345"/>
      <c r="CZ291" s="345"/>
      <c r="DA291" s="348"/>
      <c r="DB291" s="94"/>
      <c r="DC291" s="88">
        <f t="shared" si="632"/>
        <v>49246.678000000138</v>
      </c>
      <c r="DD291" s="94"/>
      <c r="DE291" s="88">
        <f t="shared" si="634"/>
        <v>-38863.112546999997</v>
      </c>
      <c r="DF291" s="100" t="e">
        <f ca="1">BE291+(SUM(CS290:CS301)/12)</f>
        <v>#N/A</v>
      </c>
      <c r="DG291" s="351"/>
      <c r="DH291" s="8">
        <f t="shared" ref="DH291:DH301" si="772">DH290+M291+S291+U291</f>
        <v>0</v>
      </c>
      <c r="DI291" s="123">
        <f t="shared" si="648"/>
        <v>3550</v>
      </c>
      <c r="DJ291" s="2">
        <f t="shared" ref="DJ291:DJ301" si="773">DJ290+M291</f>
        <v>0</v>
      </c>
      <c r="DK291" s="127">
        <f>DK301/12*2</f>
        <v>1300</v>
      </c>
      <c r="DL291" s="2">
        <f t="shared" si="618"/>
        <v>650</v>
      </c>
      <c r="DM291" s="130">
        <f t="shared" ref="DM291:DM301" si="774">DM290+S291</f>
        <v>0</v>
      </c>
      <c r="DN291" s="3">
        <f>DN301/12*2</f>
        <v>500</v>
      </c>
      <c r="DO291" s="130">
        <f t="shared" si="620"/>
        <v>250</v>
      </c>
      <c r="DP291" s="4">
        <f t="shared" ref="DP291:DP301" si="775">DP290+U291</f>
        <v>0</v>
      </c>
      <c r="DQ291" s="116">
        <f t="shared" ref="DQ291:DQ300" si="776">DQ290+DR291</f>
        <v>1750</v>
      </c>
      <c r="DR291" s="116">
        <f>DR279</f>
        <v>800</v>
      </c>
    </row>
    <row r="292" spans="1:122" ht="14.25" customHeight="1" thickBot="1" x14ac:dyDescent="0.2">
      <c r="A292" s="416"/>
      <c r="B292" s="16">
        <v>52201</v>
      </c>
      <c r="C292" s="207">
        <f>'PV-Felder'!$I$13</f>
        <v>559.9</v>
      </c>
      <c r="D292" s="351"/>
      <c r="E292" s="61">
        <v>0</v>
      </c>
      <c r="F292" s="351"/>
      <c r="G292" s="56" t="e">
        <f t="shared" ca="1" si="686"/>
        <v>#N/A</v>
      </c>
      <c r="H292" s="351"/>
      <c r="I292" s="61">
        <v>0</v>
      </c>
      <c r="J292" s="351"/>
      <c r="K292" s="61">
        <v>0</v>
      </c>
      <c r="L292" s="351"/>
      <c r="M292" s="65">
        <f t="shared" si="705"/>
        <v>0</v>
      </c>
      <c r="N292" s="373"/>
      <c r="O292" s="288"/>
      <c r="P292" s="288"/>
      <c r="Q292" s="286">
        <f t="shared" si="687"/>
        <v>0</v>
      </c>
      <c r="R292" s="336"/>
      <c r="S292" s="61">
        <v>0</v>
      </c>
      <c r="T292" s="376"/>
      <c r="U292" s="61">
        <v>0</v>
      </c>
      <c r="V292" s="342"/>
      <c r="W292" s="61">
        <v>0</v>
      </c>
      <c r="X292" s="342"/>
      <c r="Y292" s="211" t="e">
        <f t="shared" si="612"/>
        <v>#N/A</v>
      </c>
      <c r="Z292" s="370"/>
      <c r="AA292" s="61">
        <v>0</v>
      </c>
      <c r="AB292" s="351"/>
      <c r="AC292" s="61">
        <v>0</v>
      </c>
      <c r="AD292" s="351"/>
      <c r="AE292" s="73" t="e">
        <f t="shared" si="642"/>
        <v>#N/A</v>
      </c>
      <c r="AF292" s="356"/>
      <c r="AG292" s="73" t="e">
        <f t="shared" si="643"/>
        <v>#N/A</v>
      </c>
      <c r="AH292" s="356"/>
      <c r="AI292" s="221">
        <f t="shared" ref="AI292:AI300" si="777">AI291</f>
        <v>29.26</v>
      </c>
      <c r="AJ292" s="78">
        <f t="shared" ref="AJ292:AN292" si="778">AJ291</f>
        <v>0.26750000000000002</v>
      </c>
      <c r="AK292" s="79">
        <f t="shared" si="778"/>
        <v>9.9166666666666661</v>
      </c>
      <c r="AL292" s="80">
        <f t="shared" si="778"/>
        <v>187</v>
      </c>
      <c r="AM292" s="78">
        <f t="shared" si="778"/>
        <v>9.737942583732058E-2</v>
      </c>
      <c r="AN292" s="80">
        <f t="shared" si="778"/>
        <v>143</v>
      </c>
      <c r="AO292" s="78">
        <f>AO291</f>
        <v>0.21099999999999999</v>
      </c>
      <c r="AP292" s="88">
        <f>AP291</f>
        <v>12</v>
      </c>
      <c r="AQ292" s="64">
        <f t="shared" si="710"/>
        <v>21.5</v>
      </c>
      <c r="AR292" s="64">
        <f t="shared" si="711"/>
        <v>11.5</v>
      </c>
      <c r="AS292" s="88">
        <f t="shared" si="712"/>
        <v>1.1830000000000001</v>
      </c>
      <c r="AT292" s="91">
        <f t="shared" si="718"/>
        <v>0</v>
      </c>
      <c r="AU292" s="94"/>
      <c r="AV292" s="95"/>
      <c r="AW292" s="56">
        <f t="shared" si="689"/>
        <v>0</v>
      </c>
      <c r="AX292" s="351"/>
      <c r="AY292" s="100">
        <f t="shared" si="716"/>
        <v>9.9166666666666661</v>
      </c>
      <c r="AZ292" s="360"/>
      <c r="BA292" s="91">
        <f t="shared" si="771"/>
        <v>-2811.0292136666612</v>
      </c>
      <c r="BB292" s="5">
        <f t="shared" si="645"/>
        <v>-9.9166666666666661</v>
      </c>
      <c r="BC292" s="363"/>
      <c r="BD292" s="91" t="e">
        <f t="shared" ca="1" si="690"/>
        <v>#N/A</v>
      </c>
      <c r="BE292" s="91" t="e">
        <f t="shared" ca="1" si="691"/>
        <v>#N/A</v>
      </c>
      <c r="BF292" s="91">
        <f t="shared" si="692"/>
        <v>31.833333333333329</v>
      </c>
      <c r="BG292" s="91" t="e">
        <f t="shared" ca="1" si="693"/>
        <v>#N/A</v>
      </c>
      <c r="BH292" s="91" t="e">
        <f t="shared" ca="1" si="737"/>
        <v>#N/A</v>
      </c>
      <c r="BI292" s="10" t="e">
        <f t="shared" ca="1" si="707"/>
        <v>#N/A</v>
      </c>
      <c r="BJ292" s="104">
        <f>((M292+Q292)*AJ292+AK292)+((U292-W292+W292/('Vergleich Holz Strom'!$B$8-0.6))*AO292+AP292)</f>
        <v>21.916666666666664</v>
      </c>
      <c r="BK292" s="10" t="e">
        <f t="shared" ca="1" si="646"/>
        <v>#N/A</v>
      </c>
      <c r="BL292" s="379"/>
      <c r="BM292" s="104" t="e">
        <f t="shared" ca="1" si="703"/>
        <v>#N/A</v>
      </c>
      <c r="BN292" s="40" t="e">
        <f ca="1">IF(ISNUMBER(BK292),BN291+SUMIF(BK290:BK301,"&lt;&gt;#NV",BK290:BK301)/COUNTIF(BK290:BK301,"&lt;&gt;#NV"),#N/A)</f>
        <v>#N/A</v>
      </c>
      <c r="BO292" s="10" t="e">
        <f t="shared" ca="1" si="767"/>
        <v>#N/A</v>
      </c>
      <c r="BP292" s="104" t="e">
        <f t="shared" ca="1" si="647"/>
        <v>#N/A</v>
      </c>
      <c r="BQ292" s="104">
        <f t="shared" ca="1" si="667"/>
        <v>-58178.302521730948</v>
      </c>
      <c r="BR292" s="10">
        <f t="shared" si="694"/>
        <v>9.9166666666666661</v>
      </c>
      <c r="BS292" s="311"/>
      <c r="BT292" s="307"/>
      <c r="BU292" s="295">
        <f t="shared" si="695"/>
        <v>0</v>
      </c>
      <c r="BV292" s="323"/>
      <c r="BW292" s="299">
        <f t="shared" si="696"/>
        <v>0</v>
      </c>
      <c r="BX292" s="295">
        <f t="shared" si="697"/>
        <v>0</v>
      </c>
      <c r="BY292" s="382"/>
      <c r="BZ292" s="299">
        <f t="shared" si="704"/>
        <v>0</v>
      </c>
      <c r="CA292" s="295">
        <f t="shared" si="708"/>
        <v>0</v>
      </c>
      <c r="CB292" s="323"/>
      <c r="CC292" s="314">
        <f t="shared" ref="CC292:CC301" si="779">Q292/AQ292*100+BS292/AQ292*100</f>
        <v>0</v>
      </c>
      <c r="CD292" s="326"/>
      <c r="CE292" s="299">
        <f t="shared" si="698"/>
        <v>0</v>
      </c>
      <c r="CF292" s="284">
        <f t="shared" ref="CF292:CF301" si="780">CE292-CA292</f>
        <v>0</v>
      </c>
      <c r="CG292" s="323"/>
      <c r="CH292" s="302">
        <f t="shared" si="733"/>
        <v>0</v>
      </c>
      <c r="CI292" s="108">
        <f t="shared" si="699"/>
        <v>0</v>
      </c>
      <c r="CJ292" s="200">
        <f t="shared" si="700"/>
        <v>0</v>
      </c>
      <c r="CK292" s="197">
        <f t="shared" si="714"/>
        <v>0</v>
      </c>
      <c r="CL292" s="203">
        <f t="shared" si="701"/>
        <v>12</v>
      </c>
      <c r="CM292" s="4">
        <f>U292*Jahresdaten!$AD$2</f>
        <v>0</v>
      </c>
      <c r="CN292" s="112">
        <f>CJ292*Jahresdaten!$AD$2</f>
        <v>0</v>
      </c>
      <c r="CO292" s="366"/>
      <c r="CP292" s="116">
        <f>U292*Jahresdaten!$AD$3</f>
        <v>0</v>
      </c>
      <c r="CQ292" s="12">
        <f>CJ292*Jahresdaten!$AD$3</f>
        <v>0</v>
      </c>
      <c r="CR292" s="353"/>
      <c r="CS292" s="14"/>
      <c r="CT292" s="136"/>
      <c r="CU292" s="140" t="str">
        <f>IF(CT292=0,"",CT292*'Vergleich Holz Strom'!$B$2)</f>
        <v/>
      </c>
      <c r="CV292" s="353"/>
      <c r="CW292" s="366"/>
      <c r="CX292" s="345"/>
      <c r="CY292" s="345"/>
      <c r="CZ292" s="345"/>
      <c r="DA292" s="348"/>
      <c r="DB292" s="94"/>
      <c r="DC292" s="88">
        <f t="shared" si="632"/>
        <v>49423.761333333474</v>
      </c>
      <c r="DD292" s="94"/>
      <c r="DE292" s="88">
        <f t="shared" si="634"/>
        <v>-39006.112546999997</v>
      </c>
      <c r="DF292" s="100" t="e">
        <f ca="1">BE292+(SUM(CS290:CS301)/12)</f>
        <v>#N/A</v>
      </c>
      <c r="DG292" s="351"/>
      <c r="DH292" s="8">
        <f t="shared" si="772"/>
        <v>0</v>
      </c>
      <c r="DI292" s="123">
        <f t="shared" si="648"/>
        <v>5300</v>
      </c>
      <c r="DJ292" s="2">
        <f t="shared" si="773"/>
        <v>0</v>
      </c>
      <c r="DK292" s="127">
        <f>DK301/12*3</f>
        <v>1950</v>
      </c>
      <c r="DL292" s="2">
        <f t="shared" si="618"/>
        <v>650</v>
      </c>
      <c r="DM292" s="130">
        <f t="shared" si="774"/>
        <v>0</v>
      </c>
      <c r="DN292" s="3">
        <f>DN301/12*3</f>
        <v>750</v>
      </c>
      <c r="DO292" s="130">
        <f t="shared" si="620"/>
        <v>250</v>
      </c>
      <c r="DP292" s="4">
        <f t="shared" si="775"/>
        <v>0</v>
      </c>
      <c r="DQ292" s="116">
        <f t="shared" si="776"/>
        <v>2600</v>
      </c>
      <c r="DR292" s="116">
        <f t="shared" ref="DR292:DR300" si="781">DR280</f>
        <v>850.00000000000011</v>
      </c>
    </row>
    <row r="293" spans="1:122" ht="14.25" customHeight="1" thickBot="1" x14ac:dyDescent="0.2">
      <c r="A293" s="416"/>
      <c r="B293" s="16">
        <v>52232</v>
      </c>
      <c r="C293" s="207">
        <f>'PV-Felder'!$I$2</f>
        <v>660.80000000000007</v>
      </c>
      <c r="D293" s="351"/>
      <c r="E293" s="61">
        <v>0</v>
      </c>
      <c r="F293" s="351"/>
      <c r="G293" s="56" t="e">
        <f t="shared" ca="1" si="686"/>
        <v>#N/A</v>
      </c>
      <c r="H293" s="351"/>
      <c r="I293" s="61">
        <v>0</v>
      </c>
      <c r="J293" s="351"/>
      <c r="K293" s="61">
        <v>0</v>
      </c>
      <c r="L293" s="351"/>
      <c r="M293" s="65">
        <f t="shared" si="705"/>
        <v>0</v>
      </c>
      <c r="N293" s="373"/>
      <c r="O293" s="288"/>
      <c r="P293" s="288"/>
      <c r="Q293" s="286">
        <f t="shared" si="687"/>
        <v>0</v>
      </c>
      <c r="R293" s="336"/>
      <c r="S293" s="61">
        <v>0</v>
      </c>
      <c r="T293" s="376"/>
      <c r="U293" s="61">
        <v>0</v>
      </c>
      <c r="V293" s="342"/>
      <c r="W293" s="61">
        <v>0</v>
      </c>
      <c r="X293" s="342"/>
      <c r="Y293" s="211" t="e">
        <f t="shared" si="612"/>
        <v>#N/A</v>
      </c>
      <c r="Z293" s="370"/>
      <c r="AA293" s="61">
        <v>0</v>
      </c>
      <c r="AB293" s="351"/>
      <c r="AC293" s="61">
        <v>0</v>
      </c>
      <c r="AD293" s="351"/>
      <c r="AE293" s="73" t="e">
        <f t="shared" si="642"/>
        <v>#N/A</v>
      </c>
      <c r="AF293" s="356"/>
      <c r="AG293" s="73" t="e">
        <f t="shared" si="643"/>
        <v>#N/A</v>
      </c>
      <c r="AH293" s="356"/>
      <c r="AI293" s="221">
        <f t="shared" si="777"/>
        <v>29.26</v>
      </c>
      <c r="AJ293" s="78">
        <f t="shared" ref="AJ293:AP293" si="782">AJ292</f>
        <v>0.26750000000000002</v>
      </c>
      <c r="AK293" s="79">
        <f t="shared" si="782"/>
        <v>9.9166666666666661</v>
      </c>
      <c r="AL293" s="80">
        <f t="shared" si="782"/>
        <v>187</v>
      </c>
      <c r="AM293" s="78">
        <f t="shared" si="782"/>
        <v>9.737942583732058E-2</v>
      </c>
      <c r="AN293" s="80">
        <f t="shared" si="782"/>
        <v>143</v>
      </c>
      <c r="AO293" s="78">
        <f t="shared" si="782"/>
        <v>0.21099999999999999</v>
      </c>
      <c r="AP293" s="88">
        <f t="shared" si="782"/>
        <v>12</v>
      </c>
      <c r="AQ293" s="64">
        <f t="shared" si="710"/>
        <v>21.5</v>
      </c>
      <c r="AR293" s="64">
        <f t="shared" si="711"/>
        <v>11.5</v>
      </c>
      <c r="AS293" s="88">
        <f t="shared" si="712"/>
        <v>1.1830000000000001</v>
      </c>
      <c r="AT293" s="91">
        <f t="shared" si="718"/>
        <v>0</v>
      </c>
      <c r="AU293" s="94"/>
      <c r="AV293" s="95"/>
      <c r="AW293" s="56">
        <f t="shared" si="689"/>
        <v>0</v>
      </c>
      <c r="AX293" s="351"/>
      <c r="AY293" s="100">
        <f t="shared" si="716"/>
        <v>9.9166666666666661</v>
      </c>
      <c r="AZ293" s="360"/>
      <c r="BA293" s="91">
        <f t="shared" si="771"/>
        <v>-2820.9458803333278</v>
      </c>
      <c r="BB293" s="5">
        <f t="shared" si="645"/>
        <v>-9.9166666666666661</v>
      </c>
      <c r="BC293" s="363"/>
      <c r="BD293" s="91" t="e">
        <f t="shared" ca="1" si="690"/>
        <v>#N/A</v>
      </c>
      <c r="BE293" s="91" t="e">
        <f t="shared" ca="1" si="691"/>
        <v>#N/A</v>
      </c>
      <c r="BF293" s="91">
        <f t="shared" si="692"/>
        <v>31.833333333333329</v>
      </c>
      <c r="BG293" s="91" t="e">
        <f t="shared" ca="1" si="693"/>
        <v>#N/A</v>
      </c>
      <c r="BH293" s="91" t="e">
        <f t="shared" ca="1" si="737"/>
        <v>#N/A</v>
      </c>
      <c r="BI293" s="10" t="e">
        <f t="shared" ca="1" si="707"/>
        <v>#N/A</v>
      </c>
      <c r="BJ293" s="104">
        <f>((M293+Q293)*AJ293+AK293)+((U293-W293+W293/('Vergleich Holz Strom'!$B$8-0.6))*AO293+AP293)</f>
        <v>21.916666666666664</v>
      </c>
      <c r="BK293" s="10" t="e">
        <f t="shared" ca="1" si="646"/>
        <v>#N/A</v>
      </c>
      <c r="BL293" s="379"/>
      <c r="BM293" s="104" t="e">
        <f t="shared" ca="1" si="703"/>
        <v>#N/A</v>
      </c>
      <c r="BN293" s="40" t="e">
        <f ca="1">IF(ISNUMBER(BK293),BN292+SUMIF(BK290:BK301,"&lt;&gt;#NV",BK290:BK301)/COUNTIF(BK290:BK301,"&lt;&gt;#NV"),#N/A)</f>
        <v>#N/A</v>
      </c>
      <c r="BO293" s="10" t="e">
        <f t="shared" ca="1" si="767"/>
        <v>#N/A</v>
      </c>
      <c r="BP293" s="104" t="e">
        <f t="shared" ca="1" si="647"/>
        <v>#N/A</v>
      </c>
      <c r="BQ293" s="104">
        <f t="shared" ca="1" si="667"/>
        <v>-58166.302521730948</v>
      </c>
      <c r="BR293" s="10">
        <f t="shared" si="694"/>
        <v>9.9166666666666661</v>
      </c>
      <c r="BS293" s="311"/>
      <c r="BT293" s="307"/>
      <c r="BU293" s="295">
        <f t="shared" si="695"/>
        <v>0</v>
      </c>
      <c r="BV293" s="323"/>
      <c r="BW293" s="299">
        <f t="shared" si="696"/>
        <v>0</v>
      </c>
      <c r="BX293" s="295">
        <f t="shared" si="697"/>
        <v>0</v>
      </c>
      <c r="BY293" s="382"/>
      <c r="BZ293" s="299">
        <f t="shared" si="704"/>
        <v>0</v>
      </c>
      <c r="CA293" s="295">
        <f t="shared" si="708"/>
        <v>0</v>
      </c>
      <c r="CB293" s="323"/>
      <c r="CC293" s="314">
        <f t="shared" si="779"/>
        <v>0</v>
      </c>
      <c r="CD293" s="326"/>
      <c r="CE293" s="299">
        <f t="shared" si="698"/>
        <v>0</v>
      </c>
      <c r="CF293" s="284">
        <f t="shared" si="780"/>
        <v>0</v>
      </c>
      <c r="CG293" s="323"/>
      <c r="CH293" s="302">
        <f t="shared" si="733"/>
        <v>0</v>
      </c>
      <c r="CI293" s="108">
        <f t="shared" si="699"/>
        <v>0</v>
      </c>
      <c r="CJ293" s="200">
        <f t="shared" si="700"/>
        <v>0</v>
      </c>
      <c r="CK293" s="197">
        <f t="shared" si="714"/>
        <v>0</v>
      </c>
      <c r="CL293" s="203">
        <f t="shared" si="701"/>
        <v>12</v>
      </c>
      <c r="CM293" s="4">
        <f>U293*Jahresdaten!$AD$2</f>
        <v>0</v>
      </c>
      <c r="CN293" s="112">
        <f>CJ293*Jahresdaten!$AD$2</f>
        <v>0</v>
      </c>
      <c r="CO293" s="366"/>
      <c r="CP293" s="116">
        <f>U293*Jahresdaten!$AD$3</f>
        <v>0</v>
      </c>
      <c r="CQ293" s="12">
        <f>CJ293*Jahresdaten!$AD$3</f>
        <v>0</v>
      </c>
      <c r="CR293" s="353"/>
      <c r="CS293" s="14"/>
      <c r="CT293" s="136"/>
      <c r="CU293" s="140" t="str">
        <f>IF(CT293=0,"",CT293*'Vergleich Holz Strom'!$B$2)</f>
        <v/>
      </c>
      <c r="CV293" s="353"/>
      <c r="CW293" s="366"/>
      <c r="CX293" s="345"/>
      <c r="CY293" s="345"/>
      <c r="CZ293" s="345"/>
      <c r="DA293" s="348"/>
      <c r="DB293" s="94"/>
      <c r="DC293" s="88">
        <f t="shared" si="632"/>
        <v>49600.84466666681</v>
      </c>
      <c r="DD293" s="94"/>
      <c r="DE293" s="88">
        <f t="shared" si="634"/>
        <v>-39149.112546999997</v>
      </c>
      <c r="DF293" s="100" t="e">
        <f ca="1">BE293+(SUM(CS290:CS301)/12)</f>
        <v>#N/A</v>
      </c>
      <c r="DG293" s="351"/>
      <c r="DH293" s="8">
        <f t="shared" si="772"/>
        <v>0</v>
      </c>
      <c r="DI293" s="123">
        <f t="shared" si="648"/>
        <v>7350</v>
      </c>
      <c r="DJ293" s="2">
        <f t="shared" si="773"/>
        <v>0</v>
      </c>
      <c r="DK293" s="127">
        <f>DK301/12*4</f>
        <v>2600</v>
      </c>
      <c r="DL293" s="2">
        <f t="shared" si="618"/>
        <v>650</v>
      </c>
      <c r="DM293" s="130">
        <f t="shared" si="774"/>
        <v>0</v>
      </c>
      <c r="DN293" s="3">
        <f>DN301/12*4</f>
        <v>1000</v>
      </c>
      <c r="DO293" s="130">
        <f t="shared" si="620"/>
        <v>250</v>
      </c>
      <c r="DP293" s="4">
        <f t="shared" si="775"/>
        <v>0</v>
      </c>
      <c r="DQ293" s="116">
        <f t="shared" si="776"/>
        <v>3750</v>
      </c>
      <c r="DR293" s="116">
        <f t="shared" si="781"/>
        <v>1150</v>
      </c>
    </row>
    <row r="294" spans="1:122" ht="14.25" customHeight="1" thickBot="1" x14ac:dyDescent="0.2">
      <c r="A294" s="416"/>
      <c r="B294" s="16">
        <v>52263</v>
      </c>
      <c r="C294" s="207">
        <f>'PV-Felder'!$I$3</f>
        <v>922.2</v>
      </c>
      <c r="D294" s="351"/>
      <c r="E294" s="61">
        <v>0</v>
      </c>
      <c r="F294" s="351"/>
      <c r="G294" s="56" t="e">
        <f t="shared" ca="1" si="686"/>
        <v>#N/A</v>
      </c>
      <c r="H294" s="351"/>
      <c r="I294" s="61">
        <v>0</v>
      </c>
      <c r="J294" s="351"/>
      <c r="K294" s="61">
        <v>0</v>
      </c>
      <c r="L294" s="351"/>
      <c r="M294" s="65">
        <f t="shared" si="705"/>
        <v>0</v>
      </c>
      <c r="N294" s="373"/>
      <c r="O294" s="288"/>
      <c r="P294" s="288"/>
      <c r="Q294" s="286">
        <f t="shared" si="687"/>
        <v>0</v>
      </c>
      <c r="R294" s="336"/>
      <c r="S294" s="61">
        <v>0</v>
      </c>
      <c r="T294" s="376"/>
      <c r="U294" s="61">
        <v>0</v>
      </c>
      <c r="V294" s="342"/>
      <c r="W294" s="61">
        <v>0</v>
      </c>
      <c r="X294" s="342"/>
      <c r="Y294" s="211" t="e">
        <f t="shared" ref="Y294:Y301" si="783">IF(M294+S294+U294&gt;0,M294+S294+U294,#N/A)</f>
        <v>#N/A</v>
      </c>
      <c r="Z294" s="370"/>
      <c r="AA294" s="61">
        <v>0</v>
      </c>
      <c r="AB294" s="351"/>
      <c r="AC294" s="61">
        <v>0</v>
      </c>
      <c r="AD294" s="351"/>
      <c r="AE294" s="73" t="e">
        <f t="shared" si="642"/>
        <v>#N/A</v>
      </c>
      <c r="AF294" s="356"/>
      <c r="AG294" s="73" t="e">
        <f t="shared" si="643"/>
        <v>#N/A</v>
      </c>
      <c r="AH294" s="356"/>
      <c r="AI294" s="221">
        <f t="shared" si="777"/>
        <v>29.26</v>
      </c>
      <c r="AJ294" s="78">
        <f t="shared" ref="AJ294:AP294" si="784">AJ293</f>
        <v>0.26750000000000002</v>
      </c>
      <c r="AK294" s="79">
        <f t="shared" si="784"/>
        <v>9.9166666666666661</v>
      </c>
      <c r="AL294" s="80">
        <f t="shared" si="784"/>
        <v>187</v>
      </c>
      <c r="AM294" s="78">
        <f t="shared" si="784"/>
        <v>9.737942583732058E-2</v>
      </c>
      <c r="AN294" s="80">
        <f t="shared" si="784"/>
        <v>143</v>
      </c>
      <c r="AO294" s="78">
        <f t="shared" si="784"/>
        <v>0.21099999999999999</v>
      </c>
      <c r="AP294" s="88">
        <f t="shared" si="784"/>
        <v>12</v>
      </c>
      <c r="AQ294" s="64">
        <f t="shared" si="710"/>
        <v>21.5</v>
      </c>
      <c r="AR294" s="64">
        <f t="shared" si="711"/>
        <v>11.5</v>
      </c>
      <c r="AS294" s="88">
        <f t="shared" si="712"/>
        <v>1.1830000000000001</v>
      </c>
      <c r="AT294" s="91">
        <f t="shared" si="718"/>
        <v>0</v>
      </c>
      <c r="AU294" s="94"/>
      <c r="AV294" s="95"/>
      <c r="AW294" s="56">
        <f t="shared" si="689"/>
        <v>0</v>
      </c>
      <c r="AX294" s="351"/>
      <c r="AY294" s="100">
        <f t="shared" si="716"/>
        <v>9.9166666666666661</v>
      </c>
      <c r="AZ294" s="360"/>
      <c r="BA294" s="91">
        <f t="shared" si="771"/>
        <v>-2830.8625469999943</v>
      </c>
      <c r="BB294" s="5">
        <f t="shared" si="645"/>
        <v>-9.9166666666666661</v>
      </c>
      <c r="BC294" s="363"/>
      <c r="BD294" s="91" t="e">
        <f t="shared" ca="1" si="690"/>
        <v>#N/A</v>
      </c>
      <c r="BE294" s="91" t="e">
        <f t="shared" ca="1" si="691"/>
        <v>#N/A</v>
      </c>
      <c r="BF294" s="91">
        <f t="shared" si="692"/>
        <v>31.833333333333329</v>
      </c>
      <c r="BG294" s="91" t="e">
        <f t="shared" ca="1" si="693"/>
        <v>#N/A</v>
      </c>
      <c r="BH294" s="91" t="e">
        <f t="shared" ca="1" si="737"/>
        <v>#N/A</v>
      </c>
      <c r="BI294" s="10" t="e">
        <f t="shared" ca="1" si="707"/>
        <v>#N/A</v>
      </c>
      <c r="BJ294" s="104">
        <f>((M294+Q294)*AJ294+AK294)+((U294-W294+W294/('Vergleich Holz Strom'!$B$8-0.6))*AO294+AP294)</f>
        <v>21.916666666666664</v>
      </c>
      <c r="BK294" s="10" t="e">
        <f t="shared" ca="1" si="646"/>
        <v>#N/A</v>
      </c>
      <c r="BL294" s="379"/>
      <c r="BM294" s="104" t="e">
        <f t="shared" ca="1" si="703"/>
        <v>#N/A</v>
      </c>
      <c r="BN294" s="40" t="e">
        <f ca="1">IF(ISNUMBER(BK294),BN293+SUMIF(BK290:BK301,"&lt;&gt;#NV",BK290:BK301)/COUNTIF(BK290:BK301,"&lt;&gt;#NV"),#N/A)</f>
        <v>#N/A</v>
      </c>
      <c r="BO294" s="10" t="e">
        <f t="shared" ca="1" si="767"/>
        <v>#N/A</v>
      </c>
      <c r="BP294" s="104" t="e">
        <f t="shared" ca="1" si="647"/>
        <v>#N/A</v>
      </c>
      <c r="BQ294" s="104">
        <f t="shared" ca="1" si="667"/>
        <v>-58147.102521730951</v>
      </c>
      <c r="BR294" s="10">
        <f t="shared" si="694"/>
        <v>9.9166666666666661</v>
      </c>
      <c r="BS294" s="311"/>
      <c r="BT294" s="307"/>
      <c r="BU294" s="295">
        <f t="shared" si="695"/>
        <v>0</v>
      </c>
      <c r="BV294" s="323"/>
      <c r="BW294" s="299">
        <f t="shared" si="696"/>
        <v>0</v>
      </c>
      <c r="BX294" s="295">
        <f t="shared" si="697"/>
        <v>0</v>
      </c>
      <c r="BY294" s="382"/>
      <c r="BZ294" s="299">
        <f t="shared" si="704"/>
        <v>0</v>
      </c>
      <c r="CA294" s="295">
        <f t="shared" si="708"/>
        <v>0</v>
      </c>
      <c r="CB294" s="323"/>
      <c r="CC294" s="314">
        <f t="shared" si="779"/>
        <v>0</v>
      </c>
      <c r="CD294" s="326"/>
      <c r="CE294" s="299">
        <f t="shared" si="698"/>
        <v>0</v>
      </c>
      <c r="CF294" s="284">
        <f t="shared" si="780"/>
        <v>0</v>
      </c>
      <c r="CG294" s="323"/>
      <c r="CH294" s="302">
        <f t="shared" si="733"/>
        <v>0</v>
      </c>
      <c r="CI294" s="108">
        <f t="shared" si="699"/>
        <v>0</v>
      </c>
      <c r="CJ294" s="200">
        <f t="shared" si="700"/>
        <v>0</v>
      </c>
      <c r="CK294" s="197">
        <f t="shared" si="714"/>
        <v>0</v>
      </c>
      <c r="CL294" s="203">
        <f t="shared" si="701"/>
        <v>12</v>
      </c>
      <c r="CM294" s="4">
        <f>U294*Jahresdaten!$AD$2</f>
        <v>0</v>
      </c>
      <c r="CN294" s="112">
        <f>CJ294*Jahresdaten!$AD$2</f>
        <v>0</v>
      </c>
      <c r="CO294" s="366"/>
      <c r="CP294" s="116">
        <f>U294*Jahresdaten!$AD$3</f>
        <v>0</v>
      </c>
      <c r="CQ294" s="12">
        <f>CJ294*Jahresdaten!$AD$3</f>
        <v>0</v>
      </c>
      <c r="CR294" s="353"/>
      <c r="CS294" s="14"/>
      <c r="CT294" s="136"/>
      <c r="CU294" s="140" t="str">
        <f>IF(CT294=0,"",CT294*'Vergleich Holz Strom'!$B$2)</f>
        <v/>
      </c>
      <c r="CV294" s="353"/>
      <c r="CW294" s="366"/>
      <c r="CX294" s="345"/>
      <c r="CY294" s="345"/>
      <c r="CZ294" s="345"/>
      <c r="DA294" s="348"/>
      <c r="DB294" s="94"/>
      <c r="DC294" s="88">
        <f t="shared" si="632"/>
        <v>49777.928000000145</v>
      </c>
      <c r="DD294" s="94"/>
      <c r="DE294" s="88">
        <f t="shared" si="634"/>
        <v>-39292.112546999997</v>
      </c>
      <c r="DF294" s="100" t="e">
        <f ca="1">BE294+(SUM(CS290:CS301)/12)</f>
        <v>#N/A</v>
      </c>
      <c r="DG294" s="351"/>
      <c r="DH294" s="8">
        <f t="shared" si="772"/>
        <v>0</v>
      </c>
      <c r="DI294" s="123">
        <f t="shared" si="648"/>
        <v>9600</v>
      </c>
      <c r="DJ294" s="2">
        <f t="shared" si="773"/>
        <v>0</v>
      </c>
      <c r="DK294" s="127">
        <f>DK301/12*5</f>
        <v>3250</v>
      </c>
      <c r="DL294" s="2">
        <f t="shared" si="618"/>
        <v>650</v>
      </c>
      <c r="DM294" s="130">
        <f t="shared" si="774"/>
        <v>0</v>
      </c>
      <c r="DN294" s="3">
        <f>DN301/12*5</f>
        <v>1250</v>
      </c>
      <c r="DO294" s="130">
        <f t="shared" si="620"/>
        <v>250</v>
      </c>
      <c r="DP294" s="4">
        <f t="shared" si="775"/>
        <v>0</v>
      </c>
      <c r="DQ294" s="116">
        <f t="shared" si="776"/>
        <v>5100</v>
      </c>
      <c r="DR294" s="116">
        <f t="shared" si="781"/>
        <v>1350</v>
      </c>
    </row>
    <row r="295" spans="1:122" ht="14.25" customHeight="1" thickBot="1" x14ac:dyDescent="0.2">
      <c r="A295" s="416"/>
      <c r="B295" s="16">
        <v>52291</v>
      </c>
      <c r="C295" s="207">
        <f>'PV-Felder'!$I$4</f>
        <v>1860</v>
      </c>
      <c r="D295" s="351"/>
      <c r="E295" s="61">
        <v>0</v>
      </c>
      <c r="F295" s="351"/>
      <c r="G295" s="56" t="e">
        <f t="shared" ca="1" si="686"/>
        <v>#N/A</v>
      </c>
      <c r="H295" s="351"/>
      <c r="I295" s="61">
        <v>0</v>
      </c>
      <c r="J295" s="351"/>
      <c r="K295" s="61">
        <v>0</v>
      </c>
      <c r="L295" s="351"/>
      <c r="M295" s="65">
        <f t="shared" si="705"/>
        <v>0</v>
      </c>
      <c r="N295" s="373"/>
      <c r="O295" s="288"/>
      <c r="P295" s="288"/>
      <c r="Q295" s="286">
        <f t="shared" si="687"/>
        <v>0</v>
      </c>
      <c r="R295" s="336"/>
      <c r="S295" s="61">
        <v>0</v>
      </c>
      <c r="T295" s="376"/>
      <c r="U295" s="61">
        <v>0</v>
      </c>
      <c r="V295" s="342"/>
      <c r="W295" s="61">
        <v>0</v>
      </c>
      <c r="X295" s="342"/>
      <c r="Y295" s="211" t="e">
        <f t="shared" si="783"/>
        <v>#N/A</v>
      </c>
      <c r="Z295" s="370"/>
      <c r="AA295" s="61">
        <v>0</v>
      </c>
      <c r="AB295" s="351"/>
      <c r="AC295" s="61">
        <v>0</v>
      </c>
      <c r="AD295" s="351"/>
      <c r="AE295" s="73" t="e">
        <f t="shared" si="642"/>
        <v>#N/A</v>
      </c>
      <c r="AF295" s="356"/>
      <c r="AG295" s="73" t="e">
        <f t="shared" si="643"/>
        <v>#N/A</v>
      </c>
      <c r="AH295" s="356"/>
      <c r="AI295" s="221">
        <f t="shared" si="777"/>
        <v>29.26</v>
      </c>
      <c r="AJ295" s="78">
        <f t="shared" ref="AJ295:AP295" si="785">AJ294</f>
        <v>0.26750000000000002</v>
      </c>
      <c r="AK295" s="79">
        <f t="shared" si="785"/>
        <v>9.9166666666666661</v>
      </c>
      <c r="AL295" s="80">
        <f t="shared" si="785"/>
        <v>187</v>
      </c>
      <c r="AM295" s="78">
        <f t="shared" si="785"/>
        <v>9.737942583732058E-2</v>
      </c>
      <c r="AN295" s="80">
        <f t="shared" si="785"/>
        <v>143</v>
      </c>
      <c r="AO295" s="78">
        <f t="shared" si="785"/>
        <v>0.21099999999999999</v>
      </c>
      <c r="AP295" s="88">
        <f t="shared" si="785"/>
        <v>12</v>
      </c>
      <c r="AQ295" s="64">
        <f t="shared" si="710"/>
        <v>21.5</v>
      </c>
      <c r="AR295" s="64">
        <f t="shared" si="711"/>
        <v>11.5</v>
      </c>
      <c r="AS295" s="88">
        <f t="shared" si="712"/>
        <v>1.1830000000000001</v>
      </c>
      <c r="AT295" s="91">
        <f t="shared" si="718"/>
        <v>0</v>
      </c>
      <c r="AU295" s="94"/>
      <c r="AV295" s="95"/>
      <c r="AW295" s="56">
        <f t="shared" si="689"/>
        <v>0</v>
      </c>
      <c r="AX295" s="351"/>
      <c r="AY295" s="100">
        <f t="shared" si="716"/>
        <v>9.9166666666666661</v>
      </c>
      <c r="AZ295" s="360"/>
      <c r="BA295" s="91">
        <f t="shared" si="771"/>
        <v>-2840.7792136666608</v>
      </c>
      <c r="BB295" s="5">
        <f t="shared" si="645"/>
        <v>-9.9166666666666661</v>
      </c>
      <c r="BC295" s="363"/>
      <c r="BD295" s="91" t="e">
        <f t="shared" ca="1" si="690"/>
        <v>#N/A</v>
      </c>
      <c r="BE295" s="91" t="e">
        <f t="shared" ca="1" si="691"/>
        <v>#N/A</v>
      </c>
      <c r="BF295" s="91">
        <f t="shared" si="692"/>
        <v>31.833333333333329</v>
      </c>
      <c r="BG295" s="91" t="e">
        <f t="shared" ca="1" si="693"/>
        <v>#N/A</v>
      </c>
      <c r="BH295" s="91" t="e">
        <f t="shared" ca="1" si="737"/>
        <v>#N/A</v>
      </c>
      <c r="BI295" s="10" t="e">
        <f t="shared" ca="1" si="707"/>
        <v>#N/A</v>
      </c>
      <c r="BJ295" s="104">
        <f>((M295+Q295)*AJ295+AK295)+((U295-W295+W295/('Vergleich Holz Strom'!$B$8-0.6))*AO295+AP295)</f>
        <v>21.916666666666664</v>
      </c>
      <c r="BK295" s="10" t="e">
        <f t="shared" ca="1" si="646"/>
        <v>#N/A</v>
      </c>
      <c r="BL295" s="379"/>
      <c r="BM295" s="104" t="e">
        <f t="shared" ca="1" si="703"/>
        <v>#N/A</v>
      </c>
      <c r="BN295" s="40" t="e">
        <f ca="1">IF(ISNUMBER(BK295),BN294+SUMIF(BK290:BK301,"&lt;&gt;#NV",BK290:BK301)/COUNTIF(BK290:BK301,"&lt;&gt;#NV"),#N/A)</f>
        <v>#N/A</v>
      </c>
      <c r="BO295" s="10" t="e">
        <f t="shared" ca="1" si="767"/>
        <v>#N/A</v>
      </c>
      <c r="BP295" s="104" t="e">
        <f t="shared" ca="1" si="647"/>
        <v>#N/A</v>
      </c>
      <c r="BQ295" s="104">
        <f t="shared" ca="1" si="667"/>
        <v>-58127.902521730954</v>
      </c>
      <c r="BR295" s="10">
        <f t="shared" si="694"/>
        <v>9.9166666666666661</v>
      </c>
      <c r="BS295" s="311"/>
      <c r="BT295" s="307"/>
      <c r="BU295" s="295">
        <f t="shared" si="695"/>
        <v>0</v>
      </c>
      <c r="BV295" s="323"/>
      <c r="BW295" s="299">
        <f t="shared" si="696"/>
        <v>0</v>
      </c>
      <c r="BX295" s="295">
        <f t="shared" si="697"/>
        <v>0</v>
      </c>
      <c r="BY295" s="382"/>
      <c r="BZ295" s="299">
        <f t="shared" si="704"/>
        <v>0</v>
      </c>
      <c r="CA295" s="295">
        <f t="shared" si="708"/>
        <v>0</v>
      </c>
      <c r="CB295" s="323"/>
      <c r="CC295" s="314">
        <f t="shared" si="779"/>
        <v>0</v>
      </c>
      <c r="CD295" s="326"/>
      <c r="CE295" s="299">
        <f t="shared" si="698"/>
        <v>0</v>
      </c>
      <c r="CF295" s="284">
        <f t="shared" si="780"/>
        <v>0</v>
      </c>
      <c r="CG295" s="323"/>
      <c r="CH295" s="302">
        <f t="shared" si="733"/>
        <v>0</v>
      </c>
      <c r="CI295" s="108">
        <f t="shared" si="699"/>
        <v>0</v>
      </c>
      <c r="CJ295" s="200">
        <f t="shared" si="700"/>
        <v>0</v>
      </c>
      <c r="CK295" s="197">
        <f t="shared" si="714"/>
        <v>0</v>
      </c>
      <c r="CL295" s="203">
        <f t="shared" si="701"/>
        <v>12</v>
      </c>
      <c r="CM295" s="4">
        <f>U295*Jahresdaten!$AD$2</f>
        <v>0</v>
      </c>
      <c r="CN295" s="112">
        <f>CJ295*Jahresdaten!$AD$2</f>
        <v>0</v>
      </c>
      <c r="CO295" s="366"/>
      <c r="CP295" s="116">
        <f>U295*Jahresdaten!$AD$3</f>
        <v>0</v>
      </c>
      <c r="CQ295" s="12">
        <f>CJ295*Jahresdaten!$AD$3</f>
        <v>0</v>
      </c>
      <c r="CR295" s="353"/>
      <c r="CS295" s="14"/>
      <c r="CT295" s="136"/>
      <c r="CU295" s="140" t="str">
        <f>IF(CT295=0,"",CT295*'Vergleich Holz Strom'!$B$2)</f>
        <v/>
      </c>
      <c r="CV295" s="353"/>
      <c r="CW295" s="366"/>
      <c r="CX295" s="345"/>
      <c r="CY295" s="345"/>
      <c r="CZ295" s="345"/>
      <c r="DA295" s="348"/>
      <c r="DB295" s="94"/>
      <c r="DC295" s="88">
        <f t="shared" si="632"/>
        <v>49955.011333333481</v>
      </c>
      <c r="DD295" s="94"/>
      <c r="DE295" s="88">
        <f t="shared" si="634"/>
        <v>-39435.112546999997</v>
      </c>
      <c r="DF295" s="100" t="e">
        <f ca="1">BE295+(SUM(CS290:CS301)/12)</f>
        <v>#N/A</v>
      </c>
      <c r="DG295" s="351"/>
      <c r="DH295" s="8">
        <f t="shared" si="772"/>
        <v>0</v>
      </c>
      <c r="DI295" s="123">
        <f t="shared" si="648"/>
        <v>11850</v>
      </c>
      <c r="DJ295" s="2">
        <f t="shared" si="773"/>
        <v>0</v>
      </c>
      <c r="DK295" s="127">
        <f>DK301/12*6</f>
        <v>3900</v>
      </c>
      <c r="DL295" s="2">
        <f t="shared" ref="DL295:DL301" si="786">DL294</f>
        <v>650</v>
      </c>
      <c r="DM295" s="130">
        <f t="shared" si="774"/>
        <v>0</v>
      </c>
      <c r="DN295" s="3">
        <f>DN301/12*6</f>
        <v>1500</v>
      </c>
      <c r="DO295" s="130">
        <f t="shared" ref="DO295:DO301" si="787">DO294</f>
        <v>250</v>
      </c>
      <c r="DP295" s="4">
        <f t="shared" si="775"/>
        <v>0</v>
      </c>
      <c r="DQ295" s="116">
        <f t="shared" si="776"/>
        <v>6450</v>
      </c>
      <c r="DR295" s="116">
        <f t="shared" si="781"/>
        <v>1350</v>
      </c>
    </row>
    <row r="296" spans="1:122" ht="15" customHeight="1" thickBot="1" x14ac:dyDescent="0.2">
      <c r="A296" s="416"/>
      <c r="B296" s="16">
        <v>52322</v>
      </c>
      <c r="C296" s="207">
        <f>'PV-Felder'!$I$5</f>
        <v>2887.3</v>
      </c>
      <c r="D296" s="351"/>
      <c r="E296" s="61">
        <v>0</v>
      </c>
      <c r="F296" s="351"/>
      <c r="G296" s="56" t="e">
        <f t="shared" ca="1" si="686"/>
        <v>#N/A</v>
      </c>
      <c r="H296" s="351"/>
      <c r="I296" s="61">
        <v>0</v>
      </c>
      <c r="J296" s="351"/>
      <c r="K296" s="61">
        <v>0</v>
      </c>
      <c r="L296" s="351"/>
      <c r="M296" s="65">
        <f t="shared" si="705"/>
        <v>0</v>
      </c>
      <c r="N296" s="373"/>
      <c r="O296" s="288"/>
      <c r="P296" s="288"/>
      <c r="Q296" s="286">
        <f t="shared" si="687"/>
        <v>0</v>
      </c>
      <c r="R296" s="336"/>
      <c r="S296" s="61">
        <v>0</v>
      </c>
      <c r="T296" s="376"/>
      <c r="U296" s="61">
        <v>0</v>
      </c>
      <c r="V296" s="342"/>
      <c r="W296" s="61">
        <v>0</v>
      </c>
      <c r="X296" s="342"/>
      <c r="Y296" s="211" t="e">
        <f t="shared" si="783"/>
        <v>#N/A</v>
      </c>
      <c r="Z296" s="370"/>
      <c r="AA296" s="61">
        <v>0</v>
      </c>
      <c r="AB296" s="351"/>
      <c r="AC296" s="61">
        <v>0</v>
      </c>
      <c r="AD296" s="351"/>
      <c r="AE296" s="73" t="e">
        <f t="shared" si="642"/>
        <v>#N/A</v>
      </c>
      <c r="AF296" s="356"/>
      <c r="AG296" s="73" t="e">
        <f t="shared" si="643"/>
        <v>#N/A</v>
      </c>
      <c r="AH296" s="356"/>
      <c r="AI296" s="221">
        <f t="shared" si="777"/>
        <v>29.26</v>
      </c>
      <c r="AJ296" s="78">
        <f t="shared" ref="AJ296:AP296" si="788">AJ295</f>
        <v>0.26750000000000002</v>
      </c>
      <c r="AK296" s="79">
        <f t="shared" si="788"/>
        <v>9.9166666666666661</v>
      </c>
      <c r="AL296" s="80">
        <f t="shared" si="788"/>
        <v>187</v>
      </c>
      <c r="AM296" s="78">
        <f t="shared" si="788"/>
        <v>9.737942583732058E-2</v>
      </c>
      <c r="AN296" s="80">
        <f t="shared" si="788"/>
        <v>143</v>
      </c>
      <c r="AO296" s="78">
        <f t="shared" si="788"/>
        <v>0.21099999999999999</v>
      </c>
      <c r="AP296" s="88">
        <f t="shared" si="788"/>
        <v>12</v>
      </c>
      <c r="AQ296" s="64">
        <f t="shared" si="710"/>
        <v>21.5</v>
      </c>
      <c r="AR296" s="64">
        <f t="shared" si="711"/>
        <v>11.5</v>
      </c>
      <c r="AS296" s="88">
        <f t="shared" si="712"/>
        <v>1.1830000000000001</v>
      </c>
      <c r="AT296" s="91">
        <f t="shared" ref="AT296:AT301" si="789">AT295</f>
        <v>0</v>
      </c>
      <c r="AU296" s="94"/>
      <c r="AV296" s="95"/>
      <c r="AW296" s="56">
        <f t="shared" si="689"/>
        <v>0</v>
      </c>
      <c r="AX296" s="351"/>
      <c r="AY296" s="100">
        <f t="shared" si="716"/>
        <v>9.9166666666666661</v>
      </c>
      <c r="AZ296" s="360"/>
      <c r="BA296" s="91">
        <f t="shared" si="771"/>
        <v>-2850.6958803333273</v>
      </c>
      <c r="BB296" s="5">
        <f t="shared" si="645"/>
        <v>-9.9166666666666661</v>
      </c>
      <c r="BC296" s="363"/>
      <c r="BD296" s="91" t="e">
        <f t="shared" ca="1" si="690"/>
        <v>#N/A</v>
      </c>
      <c r="BE296" s="91" t="e">
        <f t="shared" ca="1" si="691"/>
        <v>#N/A</v>
      </c>
      <c r="BF296" s="91">
        <f t="shared" si="692"/>
        <v>31.833333333333329</v>
      </c>
      <c r="BG296" s="91" t="e">
        <f t="shared" ca="1" si="693"/>
        <v>#N/A</v>
      </c>
      <c r="BH296" s="91" t="e">
        <f t="shared" ca="1" si="737"/>
        <v>#N/A</v>
      </c>
      <c r="BI296" s="10" t="e">
        <f t="shared" ca="1" si="707"/>
        <v>#N/A</v>
      </c>
      <c r="BJ296" s="104">
        <f>((M296+Q296)*AJ296+AK296)+((U296-W296+W296/('Vergleich Holz Strom'!$B$8-0.6))*AO296+AP296)</f>
        <v>21.916666666666664</v>
      </c>
      <c r="BK296" s="10" t="e">
        <f t="shared" ca="1" si="646"/>
        <v>#N/A</v>
      </c>
      <c r="BL296" s="379"/>
      <c r="BM296" s="104" t="e">
        <f t="shared" ca="1" si="703"/>
        <v>#N/A</v>
      </c>
      <c r="BN296" s="40" t="e">
        <f ca="1">IF(ISNUMBER(BK296),BN295+SUMIF(BK290:BK301,"&lt;&gt;#NV",BK290:BK301)/COUNTIF(BK290:BK301,"&lt;&gt;#NV"),#N/A)</f>
        <v>#N/A</v>
      </c>
      <c r="BO296" s="10" t="e">
        <f t="shared" ca="1" si="767"/>
        <v>#N/A</v>
      </c>
      <c r="BP296" s="104" t="e">
        <f t="shared" ca="1" si="647"/>
        <v>#N/A</v>
      </c>
      <c r="BQ296" s="104">
        <f t="shared" ca="1" si="667"/>
        <v>-58108.702521730927</v>
      </c>
      <c r="BR296" s="10">
        <f t="shared" si="694"/>
        <v>9.9166666666666661</v>
      </c>
      <c r="BS296" s="311"/>
      <c r="BT296" s="307"/>
      <c r="BU296" s="295">
        <f t="shared" si="695"/>
        <v>0</v>
      </c>
      <c r="BV296" s="323"/>
      <c r="BW296" s="299">
        <f t="shared" si="696"/>
        <v>0</v>
      </c>
      <c r="BX296" s="295">
        <f t="shared" si="697"/>
        <v>0</v>
      </c>
      <c r="BY296" s="382"/>
      <c r="BZ296" s="299">
        <f t="shared" si="704"/>
        <v>0</v>
      </c>
      <c r="CA296" s="295">
        <f t="shared" si="708"/>
        <v>0</v>
      </c>
      <c r="CB296" s="323"/>
      <c r="CC296" s="314">
        <f t="shared" si="779"/>
        <v>0</v>
      </c>
      <c r="CD296" s="326"/>
      <c r="CE296" s="299">
        <f t="shared" si="698"/>
        <v>0</v>
      </c>
      <c r="CF296" s="284">
        <f t="shared" si="780"/>
        <v>0</v>
      </c>
      <c r="CG296" s="323"/>
      <c r="CH296" s="302">
        <f t="shared" si="733"/>
        <v>0</v>
      </c>
      <c r="CI296" s="108">
        <f t="shared" si="699"/>
        <v>0</v>
      </c>
      <c r="CJ296" s="200">
        <f t="shared" si="700"/>
        <v>0</v>
      </c>
      <c r="CK296" s="197">
        <f t="shared" si="714"/>
        <v>0</v>
      </c>
      <c r="CL296" s="203">
        <f t="shared" si="701"/>
        <v>12</v>
      </c>
      <c r="CM296" s="4">
        <f>U296*Jahresdaten!$AD$2</f>
        <v>0</v>
      </c>
      <c r="CN296" s="112">
        <f>CJ296*Jahresdaten!$AD$2</f>
        <v>0</v>
      </c>
      <c r="CO296" s="366"/>
      <c r="CP296" s="116">
        <f>U296*Jahresdaten!$AD$3</f>
        <v>0</v>
      </c>
      <c r="CQ296" s="12">
        <f>CJ296*Jahresdaten!$AD$3</f>
        <v>0</v>
      </c>
      <c r="CR296" s="353"/>
      <c r="CS296" s="14"/>
      <c r="CT296" s="136"/>
      <c r="CU296" s="140" t="str">
        <f>IF(CT296=0,"",CT296*'Vergleich Holz Strom'!$B$2)</f>
        <v/>
      </c>
      <c r="CV296" s="121" t="s">
        <v>6</v>
      </c>
      <c r="CW296" s="366"/>
      <c r="CX296" s="345"/>
      <c r="CY296" s="345"/>
      <c r="CZ296" s="345"/>
      <c r="DA296" s="348"/>
      <c r="DB296" s="94"/>
      <c r="DC296" s="88">
        <f t="shared" si="632"/>
        <v>50132.094666666817</v>
      </c>
      <c r="DD296" s="94"/>
      <c r="DE296" s="88">
        <f t="shared" si="634"/>
        <v>-39578.112546999997</v>
      </c>
      <c r="DF296" s="100" t="e">
        <f ca="1">BE296+(SUM(CS290:CS301)/12)</f>
        <v>#N/A</v>
      </c>
      <c r="DG296" s="351"/>
      <c r="DH296" s="8">
        <f t="shared" si="772"/>
        <v>0</v>
      </c>
      <c r="DI296" s="123">
        <f t="shared" si="648"/>
        <v>14000</v>
      </c>
      <c r="DJ296" s="2">
        <f t="shared" si="773"/>
        <v>0</v>
      </c>
      <c r="DK296" s="127">
        <f>DK301/12*7</f>
        <v>4550</v>
      </c>
      <c r="DL296" s="2">
        <f t="shared" si="786"/>
        <v>650</v>
      </c>
      <c r="DM296" s="130">
        <f t="shared" si="774"/>
        <v>0</v>
      </c>
      <c r="DN296" s="3">
        <f>DN301/12*7</f>
        <v>1750</v>
      </c>
      <c r="DO296" s="130">
        <f t="shared" si="787"/>
        <v>250</v>
      </c>
      <c r="DP296" s="4">
        <f t="shared" si="775"/>
        <v>0</v>
      </c>
      <c r="DQ296" s="116">
        <f t="shared" si="776"/>
        <v>7700</v>
      </c>
      <c r="DR296" s="116">
        <f t="shared" si="781"/>
        <v>1250</v>
      </c>
    </row>
    <row r="297" spans="1:122" ht="14.25" customHeight="1" thickBot="1" x14ac:dyDescent="0.2">
      <c r="A297" s="416"/>
      <c r="B297" s="16">
        <v>52352</v>
      </c>
      <c r="C297" s="207">
        <f>'PV-Felder'!$I$6</f>
        <v>3391.3999999999996</v>
      </c>
      <c r="D297" s="351"/>
      <c r="E297" s="61">
        <v>0</v>
      </c>
      <c r="F297" s="351"/>
      <c r="G297" s="56" t="e">
        <f t="shared" ca="1" si="686"/>
        <v>#N/A</v>
      </c>
      <c r="H297" s="351"/>
      <c r="I297" s="61">
        <v>0</v>
      </c>
      <c r="J297" s="351"/>
      <c r="K297" s="61">
        <v>0</v>
      </c>
      <c r="L297" s="351"/>
      <c r="M297" s="65">
        <f t="shared" si="705"/>
        <v>0</v>
      </c>
      <c r="N297" s="373"/>
      <c r="O297" s="288"/>
      <c r="P297" s="288"/>
      <c r="Q297" s="286">
        <f t="shared" si="687"/>
        <v>0</v>
      </c>
      <c r="R297" s="336"/>
      <c r="S297" s="61">
        <v>0</v>
      </c>
      <c r="T297" s="376"/>
      <c r="U297" s="61">
        <v>0</v>
      </c>
      <c r="V297" s="342"/>
      <c r="W297" s="61">
        <v>0</v>
      </c>
      <c r="X297" s="342"/>
      <c r="Y297" s="211" t="e">
        <f t="shared" si="783"/>
        <v>#N/A</v>
      </c>
      <c r="Z297" s="370"/>
      <c r="AA297" s="61">
        <v>0</v>
      </c>
      <c r="AB297" s="351"/>
      <c r="AC297" s="61">
        <v>0</v>
      </c>
      <c r="AD297" s="351"/>
      <c r="AE297" s="73" t="e">
        <f t="shared" si="642"/>
        <v>#N/A</v>
      </c>
      <c r="AF297" s="356"/>
      <c r="AG297" s="73" t="e">
        <f t="shared" si="643"/>
        <v>#N/A</v>
      </c>
      <c r="AH297" s="356"/>
      <c r="AI297" s="221">
        <f t="shared" si="777"/>
        <v>29.26</v>
      </c>
      <c r="AJ297" s="78">
        <f t="shared" ref="AJ297:AP297" si="790">AJ296</f>
        <v>0.26750000000000002</v>
      </c>
      <c r="AK297" s="79">
        <f t="shared" si="790"/>
        <v>9.9166666666666661</v>
      </c>
      <c r="AL297" s="80">
        <f t="shared" si="790"/>
        <v>187</v>
      </c>
      <c r="AM297" s="78">
        <f t="shared" si="790"/>
        <v>9.737942583732058E-2</v>
      </c>
      <c r="AN297" s="80">
        <f t="shared" si="790"/>
        <v>143</v>
      </c>
      <c r="AO297" s="78">
        <f t="shared" si="790"/>
        <v>0.21099999999999999</v>
      </c>
      <c r="AP297" s="88">
        <f t="shared" si="790"/>
        <v>12</v>
      </c>
      <c r="AQ297" s="64">
        <f t="shared" si="710"/>
        <v>21.5</v>
      </c>
      <c r="AR297" s="64">
        <f t="shared" si="711"/>
        <v>11.5</v>
      </c>
      <c r="AS297" s="88">
        <f t="shared" si="712"/>
        <v>1.1830000000000001</v>
      </c>
      <c r="AT297" s="91">
        <f t="shared" si="789"/>
        <v>0</v>
      </c>
      <c r="AU297" s="94"/>
      <c r="AV297" s="95"/>
      <c r="AW297" s="56">
        <f t="shared" si="689"/>
        <v>0</v>
      </c>
      <c r="AX297" s="351"/>
      <c r="AY297" s="100">
        <f t="shared" si="716"/>
        <v>9.9166666666666661</v>
      </c>
      <c r="AZ297" s="360"/>
      <c r="BA297" s="91">
        <f t="shared" si="771"/>
        <v>-2860.6125469999938</v>
      </c>
      <c r="BB297" s="5">
        <f t="shared" si="645"/>
        <v>-9.9166666666666661</v>
      </c>
      <c r="BC297" s="363"/>
      <c r="BD297" s="91" t="e">
        <f t="shared" ca="1" si="690"/>
        <v>#N/A</v>
      </c>
      <c r="BE297" s="91" t="e">
        <f t="shared" ca="1" si="691"/>
        <v>#N/A</v>
      </c>
      <c r="BF297" s="91">
        <f t="shared" si="692"/>
        <v>31.833333333333329</v>
      </c>
      <c r="BG297" s="91" t="e">
        <f t="shared" ca="1" si="693"/>
        <v>#N/A</v>
      </c>
      <c r="BH297" s="91" t="e">
        <f t="shared" ca="1" si="737"/>
        <v>#N/A</v>
      </c>
      <c r="BI297" s="10" t="e">
        <f t="shared" ca="1" si="707"/>
        <v>#N/A</v>
      </c>
      <c r="BJ297" s="104">
        <f>((M297+Q297)*AJ297+AK297)+((U297-W297+W297/('Vergleich Holz Strom'!$B$8-0.6))*AO297+AP297)</f>
        <v>21.916666666666664</v>
      </c>
      <c r="BK297" s="10" t="e">
        <f t="shared" ca="1" si="646"/>
        <v>#N/A</v>
      </c>
      <c r="BL297" s="379"/>
      <c r="BM297" s="104" t="e">
        <f t="shared" ca="1" si="703"/>
        <v>#N/A</v>
      </c>
      <c r="BN297" s="40" t="e">
        <f ca="1">IF(ISNUMBER(BK297),BN296+SUMIF(BK290:BK301,"&lt;&gt;#NV",BK290:BK301)/COUNTIF(BK290:BK301,"&lt;&gt;#NV"),#N/A)</f>
        <v>#N/A</v>
      </c>
      <c r="BO297" s="10" t="e">
        <f t="shared" ca="1" si="767"/>
        <v>#N/A</v>
      </c>
      <c r="BP297" s="104" t="e">
        <f t="shared" ca="1" si="647"/>
        <v>#N/A</v>
      </c>
      <c r="BQ297" s="104">
        <f t="shared" ca="1" si="667"/>
        <v>-58089.502521730916</v>
      </c>
      <c r="BR297" s="10">
        <f t="shared" si="694"/>
        <v>9.9166666666666661</v>
      </c>
      <c r="BS297" s="311"/>
      <c r="BT297" s="307"/>
      <c r="BU297" s="295">
        <f t="shared" si="695"/>
        <v>0</v>
      </c>
      <c r="BV297" s="323"/>
      <c r="BW297" s="299">
        <f t="shared" si="696"/>
        <v>0</v>
      </c>
      <c r="BX297" s="295">
        <f t="shared" si="697"/>
        <v>0</v>
      </c>
      <c r="BY297" s="382"/>
      <c r="BZ297" s="299">
        <f t="shared" si="704"/>
        <v>0</v>
      </c>
      <c r="CA297" s="295">
        <f t="shared" si="708"/>
        <v>0</v>
      </c>
      <c r="CB297" s="323"/>
      <c r="CC297" s="314">
        <f t="shared" si="779"/>
        <v>0</v>
      </c>
      <c r="CD297" s="326"/>
      <c r="CE297" s="299">
        <f t="shared" si="698"/>
        <v>0</v>
      </c>
      <c r="CF297" s="284">
        <f t="shared" si="780"/>
        <v>0</v>
      </c>
      <c r="CG297" s="323"/>
      <c r="CH297" s="302">
        <f t="shared" si="733"/>
        <v>0</v>
      </c>
      <c r="CI297" s="108">
        <f t="shared" si="699"/>
        <v>0</v>
      </c>
      <c r="CJ297" s="200">
        <f t="shared" si="700"/>
        <v>0</v>
      </c>
      <c r="CK297" s="197">
        <f t="shared" si="714"/>
        <v>0</v>
      </c>
      <c r="CL297" s="203">
        <f t="shared" si="701"/>
        <v>12</v>
      </c>
      <c r="CM297" s="4">
        <f>U297*Jahresdaten!$AD$2</f>
        <v>0</v>
      </c>
      <c r="CN297" s="112">
        <f>CJ297*Jahresdaten!$AD$2</f>
        <v>0</v>
      </c>
      <c r="CO297" s="366"/>
      <c r="CP297" s="116">
        <f>U297*Jahresdaten!$AD$3</f>
        <v>0</v>
      </c>
      <c r="CQ297" s="12">
        <f>CJ297*Jahresdaten!$AD$3</f>
        <v>0</v>
      </c>
      <c r="CR297" s="353"/>
      <c r="CS297" s="14"/>
      <c r="CT297" s="136"/>
      <c r="CU297" s="140" t="str">
        <f>IF(CT297=0,"",CT297*'Vergleich Holz Strom'!$B$2)</f>
        <v/>
      </c>
      <c r="CV297" s="353">
        <f>SUM(CS290:CS301)</f>
        <v>1169</v>
      </c>
      <c r="CW297" s="366"/>
      <c r="CX297" s="345"/>
      <c r="CY297" s="345"/>
      <c r="CZ297" s="345"/>
      <c r="DA297" s="348"/>
      <c r="DB297" s="94"/>
      <c r="DC297" s="88">
        <f t="shared" si="632"/>
        <v>50309.178000000153</v>
      </c>
      <c r="DD297" s="94"/>
      <c r="DE297" s="88">
        <f t="shared" si="634"/>
        <v>-39721.112546999997</v>
      </c>
      <c r="DF297" s="100" t="e">
        <f ca="1">BE297+(SUM(CS290:CS301)/12)</f>
        <v>#N/A</v>
      </c>
      <c r="DG297" s="351"/>
      <c r="DH297" s="8">
        <f t="shared" si="772"/>
        <v>0</v>
      </c>
      <c r="DI297" s="123">
        <f t="shared" si="648"/>
        <v>16000</v>
      </c>
      <c r="DJ297" s="2">
        <f t="shared" si="773"/>
        <v>0</v>
      </c>
      <c r="DK297" s="127">
        <f>DK301/12*8</f>
        <v>5200</v>
      </c>
      <c r="DL297" s="2">
        <f t="shared" si="786"/>
        <v>650</v>
      </c>
      <c r="DM297" s="130">
        <f t="shared" si="774"/>
        <v>0</v>
      </c>
      <c r="DN297" s="3">
        <f>DN301/12*8</f>
        <v>2000</v>
      </c>
      <c r="DO297" s="130">
        <f t="shared" si="787"/>
        <v>250</v>
      </c>
      <c r="DP297" s="4">
        <f t="shared" si="775"/>
        <v>0</v>
      </c>
      <c r="DQ297" s="116">
        <f t="shared" si="776"/>
        <v>8800</v>
      </c>
      <c r="DR297" s="116">
        <f t="shared" si="781"/>
        <v>1100</v>
      </c>
    </row>
    <row r="298" spans="1:122" ht="14.25" customHeight="1" thickBot="1" x14ac:dyDescent="0.2">
      <c r="A298" s="416"/>
      <c r="B298" s="16">
        <v>52383</v>
      </c>
      <c r="C298" s="207">
        <f>'PV-Felder'!$I$7</f>
        <v>3595.6000000000004</v>
      </c>
      <c r="D298" s="351"/>
      <c r="E298" s="61">
        <v>0</v>
      </c>
      <c r="F298" s="351"/>
      <c r="G298" s="56" t="e">
        <f t="shared" ca="1" si="686"/>
        <v>#N/A</v>
      </c>
      <c r="H298" s="351"/>
      <c r="I298" s="61">
        <v>0</v>
      </c>
      <c r="J298" s="351"/>
      <c r="K298" s="61">
        <v>0</v>
      </c>
      <c r="L298" s="351"/>
      <c r="M298" s="65">
        <f t="shared" si="705"/>
        <v>0</v>
      </c>
      <c r="N298" s="373"/>
      <c r="O298" s="288"/>
      <c r="P298" s="288"/>
      <c r="Q298" s="286">
        <f t="shared" si="687"/>
        <v>0</v>
      </c>
      <c r="R298" s="336"/>
      <c r="S298" s="61">
        <v>0</v>
      </c>
      <c r="T298" s="376"/>
      <c r="U298" s="61">
        <v>0</v>
      </c>
      <c r="V298" s="342"/>
      <c r="W298" s="61">
        <v>0</v>
      </c>
      <c r="X298" s="342"/>
      <c r="Y298" s="211" t="e">
        <f t="shared" si="783"/>
        <v>#N/A</v>
      </c>
      <c r="Z298" s="370"/>
      <c r="AA298" s="61">
        <v>0</v>
      </c>
      <c r="AB298" s="351"/>
      <c r="AC298" s="61">
        <v>0</v>
      </c>
      <c r="AD298" s="351"/>
      <c r="AE298" s="73" t="e">
        <f t="shared" si="642"/>
        <v>#N/A</v>
      </c>
      <c r="AF298" s="356"/>
      <c r="AG298" s="73" t="e">
        <f t="shared" si="643"/>
        <v>#N/A</v>
      </c>
      <c r="AH298" s="356"/>
      <c r="AI298" s="221">
        <f t="shared" si="777"/>
        <v>29.26</v>
      </c>
      <c r="AJ298" s="78">
        <f t="shared" ref="AJ298:AP298" si="791">AJ297</f>
        <v>0.26750000000000002</v>
      </c>
      <c r="AK298" s="79">
        <f t="shared" si="791"/>
        <v>9.9166666666666661</v>
      </c>
      <c r="AL298" s="80">
        <f t="shared" si="791"/>
        <v>187</v>
      </c>
      <c r="AM298" s="78">
        <f t="shared" si="791"/>
        <v>9.737942583732058E-2</v>
      </c>
      <c r="AN298" s="80">
        <f t="shared" si="791"/>
        <v>143</v>
      </c>
      <c r="AO298" s="78">
        <f t="shared" si="791"/>
        <v>0.21099999999999999</v>
      </c>
      <c r="AP298" s="88">
        <f t="shared" si="791"/>
        <v>12</v>
      </c>
      <c r="AQ298" s="64">
        <f t="shared" si="710"/>
        <v>21.5</v>
      </c>
      <c r="AR298" s="64">
        <f t="shared" si="711"/>
        <v>11.5</v>
      </c>
      <c r="AS298" s="88">
        <f t="shared" si="712"/>
        <v>1.1830000000000001</v>
      </c>
      <c r="AT298" s="91">
        <f t="shared" si="789"/>
        <v>0</v>
      </c>
      <c r="AU298" s="94"/>
      <c r="AV298" s="95"/>
      <c r="AW298" s="56">
        <f t="shared" si="689"/>
        <v>0</v>
      </c>
      <c r="AX298" s="351"/>
      <c r="AY298" s="100">
        <f t="shared" si="716"/>
        <v>9.9166666666666661</v>
      </c>
      <c r="AZ298" s="360"/>
      <c r="BA298" s="91">
        <f t="shared" si="771"/>
        <v>-2870.5292136666603</v>
      </c>
      <c r="BB298" s="5">
        <f t="shared" si="645"/>
        <v>-9.9166666666666661</v>
      </c>
      <c r="BC298" s="363"/>
      <c r="BD298" s="91" t="e">
        <f t="shared" ca="1" si="690"/>
        <v>#N/A</v>
      </c>
      <c r="BE298" s="91" t="e">
        <f t="shared" ca="1" si="691"/>
        <v>#N/A</v>
      </c>
      <c r="BF298" s="91">
        <f t="shared" si="692"/>
        <v>31.833333333333329</v>
      </c>
      <c r="BG298" s="91" t="e">
        <f t="shared" ca="1" si="693"/>
        <v>#N/A</v>
      </c>
      <c r="BH298" s="91" t="e">
        <f t="shared" ca="1" si="737"/>
        <v>#N/A</v>
      </c>
      <c r="BI298" s="10" t="e">
        <f t="shared" ca="1" si="707"/>
        <v>#N/A</v>
      </c>
      <c r="BJ298" s="104">
        <f>((M298+Q298)*AJ298+AK298)+((U298-W298+W298/('Vergleich Holz Strom'!$B$8-0.6))*AO298+AP298)</f>
        <v>21.916666666666664</v>
      </c>
      <c r="BK298" s="10" t="e">
        <f t="shared" ca="1" si="646"/>
        <v>#N/A</v>
      </c>
      <c r="BL298" s="379"/>
      <c r="BM298" s="104" t="e">
        <f t="shared" ca="1" si="703"/>
        <v>#N/A</v>
      </c>
      <c r="BN298" s="40" t="e">
        <f ca="1">IF(ISNUMBER(BK298),BN297+SUMIF(BK290:BK301,"&lt;&gt;#NV",BK290:BK301)/COUNTIF(BK290:BK301,"&lt;&gt;#NV"),#N/A)</f>
        <v>#N/A</v>
      </c>
      <c r="BO298" s="10" t="e">
        <f t="shared" ca="1" si="767"/>
        <v>#N/A</v>
      </c>
      <c r="BP298" s="104" t="e">
        <f t="shared" ca="1" si="647"/>
        <v>#N/A</v>
      </c>
      <c r="BQ298" s="104">
        <f t="shared" ca="1" si="667"/>
        <v>-58073.302535208262</v>
      </c>
      <c r="BR298" s="10">
        <f t="shared" si="694"/>
        <v>9.9166666666666661</v>
      </c>
      <c r="BS298" s="311"/>
      <c r="BT298" s="307"/>
      <c r="BU298" s="295">
        <f t="shared" si="695"/>
        <v>0</v>
      </c>
      <c r="BV298" s="323"/>
      <c r="BW298" s="299">
        <f t="shared" si="696"/>
        <v>0</v>
      </c>
      <c r="BX298" s="295">
        <f t="shared" si="697"/>
        <v>0</v>
      </c>
      <c r="BY298" s="382"/>
      <c r="BZ298" s="299">
        <f t="shared" si="704"/>
        <v>0</v>
      </c>
      <c r="CA298" s="295">
        <f t="shared" si="708"/>
        <v>0</v>
      </c>
      <c r="CB298" s="323"/>
      <c r="CC298" s="314">
        <f t="shared" si="779"/>
        <v>0</v>
      </c>
      <c r="CD298" s="326"/>
      <c r="CE298" s="299">
        <f t="shared" si="698"/>
        <v>0</v>
      </c>
      <c r="CF298" s="284">
        <f t="shared" si="780"/>
        <v>0</v>
      </c>
      <c r="CG298" s="323"/>
      <c r="CH298" s="302">
        <f t="shared" si="733"/>
        <v>0</v>
      </c>
      <c r="CI298" s="108">
        <f t="shared" si="699"/>
        <v>0</v>
      </c>
      <c r="CJ298" s="200">
        <f t="shared" si="700"/>
        <v>0</v>
      </c>
      <c r="CK298" s="197">
        <f t="shared" si="714"/>
        <v>0</v>
      </c>
      <c r="CL298" s="203">
        <f t="shared" si="701"/>
        <v>12</v>
      </c>
      <c r="CM298" s="4">
        <f>U298*Jahresdaten!$AD$2</f>
        <v>0</v>
      </c>
      <c r="CN298" s="112">
        <f>CJ298*Jahresdaten!$AD$2</f>
        <v>0</v>
      </c>
      <c r="CO298" s="366"/>
      <c r="CP298" s="116">
        <f>U298*Jahresdaten!$AD$3</f>
        <v>0</v>
      </c>
      <c r="CQ298" s="12">
        <f>CJ298*Jahresdaten!$AD$3</f>
        <v>0</v>
      </c>
      <c r="CR298" s="353"/>
      <c r="CS298" s="14"/>
      <c r="CT298" s="136"/>
      <c r="CU298" s="140" t="str">
        <f>IF(CT298=0,"",CT298*'Vergleich Holz Strom'!$B$2)</f>
        <v/>
      </c>
      <c r="CV298" s="353"/>
      <c r="CW298" s="366"/>
      <c r="CX298" s="345"/>
      <c r="CY298" s="345"/>
      <c r="CZ298" s="345"/>
      <c r="DA298" s="348"/>
      <c r="DB298" s="94"/>
      <c r="DC298" s="88">
        <f t="shared" si="632"/>
        <v>50486.261333333488</v>
      </c>
      <c r="DD298" s="94"/>
      <c r="DE298" s="88">
        <f t="shared" si="634"/>
        <v>-39864.112546999997</v>
      </c>
      <c r="DF298" s="100" t="e">
        <f ca="1">BE298+(SUM(CS290:CS301)/12)</f>
        <v>#N/A</v>
      </c>
      <c r="DG298" s="351"/>
      <c r="DH298" s="8">
        <f t="shared" si="772"/>
        <v>0</v>
      </c>
      <c r="DI298" s="123">
        <f t="shared" si="648"/>
        <v>17200</v>
      </c>
      <c r="DJ298" s="2">
        <f t="shared" si="773"/>
        <v>0</v>
      </c>
      <c r="DK298" s="127">
        <f>DK301/12*9</f>
        <v>5850</v>
      </c>
      <c r="DL298" s="2">
        <f t="shared" si="786"/>
        <v>650</v>
      </c>
      <c r="DM298" s="130">
        <f t="shared" si="774"/>
        <v>0</v>
      </c>
      <c r="DN298" s="3">
        <f>DN301/12*9</f>
        <v>2250</v>
      </c>
      <c r="DO298" s="130">
        <f t="shared" si="787"/>
        <v>250</v>
      </c>
      <c r="DP298" s="4">
        <f t="shared" si="775"/>
        <v>0</v>
      </c>
      <c r="DQ298" s="116">
        <f t="shared" si="776"/>
        <v>9100</v>
      </c>
      <c r="DR298" s="116">
        <f t="shared" si="781"/>
        <v>300</v>
      </c>
    </row>
    <row r="299" spans="1:122" ht="14.25" customHeight="1" thickBot="1" x14ac:dyDescent="0.2">
      <c r="A299" s="416"/>
      <c r="B299" s="16">
        <v>52413</v>
      </c>
      <c r="C299" s="207">
        <f>'PV-Felder'!$I$8</f>
        <v>3593.8</v>
      </c>
      <c r="D299" s="351"/>
      <c r="E299" s="61">
        <v>0</v>
      </c>
      <c r="F299" s="351"/>
      <c r="G299" s="56" t="e">
        <f t="shared" ca="1" si="686"/>
        <v>#N/A</v>
      </c>
      <c r="H299" s="351"/>
      <c r="I299" s="61">
        <v>0</v>
      </c>
      <c r="J299" s="351"/>
      <c r="K299" s="61">
        <v>0</v>
      </c>
      <c r="L299" s="351"/>
      <c r="M299" s="65">
        <f t="shared" si="705"/>
        <v>0</v>
      </c>
      <c r="N299" s="373"/>
      <c r="O299" s="288"/>
      <c r="P299" s="288"/>
      <c r="Q299" s="286">
        <f t="shared" si="687"/>
        <v>0</v>
      </c>
      <c r="R299" s="336"/>
      <c r="S299" s="61">
        <v>0</v>
      </c>
      <c r="T299" s="376"/>
      <c r="U299" s="61">
        <v>0</v>
      </c>
      <c r="V299" s="342"/>
      <c r="W299" s="61">
        <v>0</v>
      </c>
      <c r="X299" s="342"/>
      <c r="Y299" s="211" t="e">
        <f t="shared" si="783"/>
        <v>#N/A</v>
      </c>
      <c r="Z299" s="370"/>
      <c r="AA299" s="61">
        <v>0</v>
      </c>
      <c r="AB299" s="351"/>
      <c r="AC299" s="61">
        <v>0</v>
      </c>
      <c r="AD299" s="351"/>
      <c r="AE299" s="73" t="e">
        <f t="shared" si="642"/>
        <v>#N/A</v>
      </c>
      <c r="AF299" s="356"/>
      <c r="AG299" s="73" t="e">
        <f t="shared" si="643"/>
        <v>#N/A</v>
      </c>
      <c r="AH299" s="356"/>
      <c r="AI299" s="221">
        <f t="shared" si="777"/>
        <v>29.26</v>
      </c>
      <c r="AJ299" s="78">
        <f t="shared" ref="AJ299:AP299" si="792">AJ298</f>
        <v>0.26750000000000002</v>
      </c>
      <c r="AK299" s="79">
        <f t="shared" si="792"/>
        <v>9.9166666666666661</v>
      </c>
      <c r="AL299" s="80">
        <f t="shared" si="792"/>
        <v>187</v>
      </c>
      <c r="AM299" s="78">
        <f t="shared" si="792"/>
        <v>9.737942583732058E-2</v>
      </c>
      <c r="AN299" s="80">
        <f t="shared" si="792"/>
        <v>143</v>
      </c>
      <c r="AO299" s="78">
        <f t="shared" si="792"/>
        <v>0.21099999999999999</v>
      </c>
      <c r="AP299" s="88">
        <f t="shared" si="792"/>
        <v>12</v>
      </c>
      <c r="AQ299" s="64">
        <f t="shared" si="710"/>
        <v>21.5</v>
      </c>
      <c r="AR299" s="64">
        <f t="shared" si="711"/>
        <v>11.5</v>
      </c>
      <c r="AS299" s="88">
        <f t="shared" si="712"/>
        <v>1.1830000000000001</v>
      </c>
      <c r="AT299" s="91">
        <f t="shared" si="789"/>
        <v>0</v>
      </c>
      <c r="AU299" s="94"/>
      <c r="AV299" s="95"/>
      <c r="AW299" s="56">
        <f t="shared" si="689"/>
        <v>0</v>
      </c>
      <c r="AX299" s="351"/>
      <c r="AY299" s="100">
        <f t="shared" si="716"/>
        <v>9.9166666666666661</v>
      </c>
      <c r="AZ299" s="360"/>
      <c r="BA299" s="91">
        <f t="shared" si="771"/>
        <v>-2880.4458803333268</v>
      </c>
      <c r="BB299" s="5">
        <f t="shared" si="645"/>
        <v>-9.9166666666666661</v>
      </c>
      <c r="BC299" s="363"/>
      <c r="BD299" s="91" t="e">
        <f t="shared" ca="1" si="690"/>
        <v>#N/A</v>
      </c>
      <c r="BE299" s="91" t="e">
        <f t="shared" ca="1" si="691"/>
        <v>#N/A</v>
      </c>
      <c r="BF299" s="91">
        <f t="shared" si="692"/>
        <v>31.833333333333329</v>
      </c>
      <c r="BG299" s="91" t="e">
        <f t="shared" ca="1" si="693"/>
        <v>#N/A</v>
      </c>
      <c r="BH299" s="91" t="e">
        <f t="shared" ca="1" si="737"/>
        <v>#N/A</v>
      </c>
      <c r="BI299" s="10" t="e">
        <f t="shared" ca="1" si="707"/>
        <v>#N/A</v>
      </c>
      <c r="BJ299" s="104">
        <f>((M299+Q299)*AJ299+AK299)+((U299-W299+W299/('Vergleich Holz Strom'!$B$8-0.6))*AO299+AP299)</f>
        <v>21.916666666666664</v>
      </c>
      <c r="BK299" s="10" t="e">
        <f t="shared" ca="1" si="646"/>
        <v>#N/A</v>
      </c>
      <c r="BL299" s="379"/>
      <c r="BM299" s="104" t="e">
        <f t="shared" ca="1" si="703"/>
        <v>#N/A</v>
      </c>
      <c r="BN299" s="40" t="e">
        <f ca="1">IF(ISNUMBER(BK299),BN298+SUMIF(BK290:BK301,"&lt;&gt;#NV",BK290:BK301)/COUNTIF(BK290:BK301,"&lt;&gt;#NV"),#N/A)</f>
        <v>#N/A</v>
      </c>
      <c r="BO299" s="10" t="e">
        <f ca="1">BK299+AT299+AU299</f>
        <v>#N/A</v>
      </c>
      <c r="BP299" s="104" t="e">
        <f t="shared" ca="1" si="647"/>
        <v>#N/A</v>
      </c>
      <c r="BQ299" s="104">
        <f t="shared" ca="1" si="667"/>
        <v>-58057.102548685609</v>
      </c>
      <c r="BR299" s="10">
        <f t="shared" si="694"/>
        <v>9.9166666666666661</v>
      </c>
      <c r="BS299" s="311"/>
      <c r="BT299" s="307"/>
      <c r="BU299" s="295">
        <f t="shared" si="695"/>
        <v>0</v>
      </c>
      <c r="BV299" s="323"/>
      <c r="BW299" s="299">
        <f t="shared" si="696"/>
        <v>0</v>
      </c>
      <c r="BX299" s="295">
        <f t="shared" si="697"/>
        <v>0</v>
      </c>
      <c r="BY299" s="382"/>
      <c r="BZ299" s="299">
        <f t="shared" si="704"/>
        <v>0</v>
      </c>
      <c r="CA299" s="295">
        <f t="shared" si="708"/>
        <v>0</v>
      </c>
      <c r="CB299" s="323"/>
      <c r="CC299" s="314">
        <f t="shared" si="779"/>
        <v>0</v>
      </c>
      <c r="CD299" s="326"/>
      <c r="CE299" s="299">
        <f t="shared" si="698"/>
        <v>0</v>
      </c>
      <c r="CF299" s="284">
        <f t="shared" si="780"/>
        <v>0</v>
      </c>
      <c r="CG299" s="323"/>
      <c r="CH299" s="302">
        <f t="shared" si="733"/>
        <v>0</v>
      </c>
      <c r="CI299" s="108">
        <f t="shared" si="699"/>
        <v>0</v>
      </c>
      <c r="CJ299" s="200">
        <f t="shared" si="700"/>
        <v>0</v>
      </c>
      <c r="CK299" s="197">
        <f t="shared" si="714"/>
        <v>0</v>
      </c>
      <c r="CL299" s="203">
        <f t="shared" si="701"/>
        <v>12</v>
      </c>
      <c r="CM299" s="4">
        <f>U299*Jahresdaten!$AD$2</f>
        <v>0</v>
      </c>
      <c r="CN299" s="112">
        <f>CJ299*Jahresdaten!$AD$2</f>
        <v>0</v>
      </c>
      <c r="CO299" s="366"/>
      <c r="CP299" s="116">
        <f>U299*Jahresdaten!$AD$3</f>
        <v>0</v>
      </c>
      <c r="CQ299" s="12">
        <f>CJ299*Jahresdaten!$AD$3</f>
        <v>0</v>
      </c>
      <c r="CR299" s="353"/>
      <c r="CS299" s="14"/>
      <c r="CT299" s="136"/>
      <c r="CU299" s="140" t="str">
        <f>IF(CT299=0,"",CT299*'Vergleich Holz Strom'!$B$2)</f>
        <v/>
      </c>
      <c r="CV299" s="353"/>
      <c r="CW299" s="366"/>
      <c r="CX299" s="345"/>
      <c r="CY299" s="345"/>
      <c r="CZ299" s="345"/>
      <c r="DA299" s="348"/>
      <c r="DB299" s="94"/>
      <c r="DC299" s="88">
        <f t="shared" ref="DC299:DC301" si="793">DC298+AL299-(AA299*AJ299+AK299)-DB299</f>
        <v>50663.344666666824</v>
      </c>
      <c r="DD299" s="94"/>
      <c r="DE299" s="88">
        <f t="shared" si="634"/>
        <v>-40007.112546999997</v>
      </c>
      <c r="DF299" s="100" t="e">
        <f ca="1">BE299+(SUM(CS290:CS301)/12)</f>
        <v>#N/A</v>
      </c>
      <c r="DG299" s="351"/>
      <c r="DH299" s="8">
        <f t="shared" si="772"/>
        <v>0</v>
      </c>
      <c r="DI299" s="123">
        <f t="shared" si="648"/>
        <v>18250</v>
      </c>
      <c r="DJ299" s="2">
        <f t="shared" si="773"/>
        <v>0</v>
      </c>
      <c r="DK299" s="127">
        <f>DK301/12*10</f>
        <v>6500</v>
      </c>
      <c r="DL299" s="2">
        <f t="shared" si="786"/>
        <v>650</v>
      </c>
      <c r="DM299" s="130">
        <f t="shared" si="774"/>
        <v>0</v>
      </c>
      <c r="DN299" s="3">
        <f>DN301/12*10</f>
        <v>2500</v>
      </c>
      <c r="DO299" s="130">
        <f t="shared" si="787"/>
        <v>250</v>
      </c>
      <c r="DP299" s="4">
        <f t="shared" si="775"/>
        <v>0</v>
      </c>
      <c r="DQ299" s="116">
        <f t="shared" si="776"/>
        <v>9250</v>
      </c>
      <c r="DR299" s="116">
        <f t="shared" si="781"/>
        <v>150</v>
      </c>
    </row>
    <row r="300" spans="1:122" ht="14.25" customHeight="1" thickBot="1" x14ac:dyDescent="0.2">
      <c r="A300" s="416"/>
      <c r="B300" s="16">
        <v>52444</v>
      </c>
      <c r="C300" s="207">
        <f>'PV-Felder'!$I$9</f>
        <v>3065.7</v>
      </c>
      <c r="D300" s="351"/>
      <c r="E300" s="61">
        <v>0</v>
      </c>
      <c r="F300" s="351"/>
      <c r="G300" s="56" t="e">
        <f t="shared" ca="1" si="686"/>
        <v>#N/A</v>
      </c>
      <c r="H300" s="351"/>
      <c r="I300" s="61">
        <v>0</v>
      </c>
      <c r="J300" s="351"/>
      <c r="K300" s="61">
        <v>0</v>
      </c>
      <c r="L300" s="351"/>
      <c r="M300" s="65">
        <f t="shared" si="705"/>
        <v>0</v>
      </c>
      <c r="N300" s="373"/>
      <c r="O300" s="288"/>
      <c r="P300" s="288"/>
      <c r="Q300" s="286">
        <f t="shared" si="687"/>
        <v>0</v>
      </c>
      <c r="R300" s="336"/>
      <c r="S300" s="61">
        <v>0</v>
      </c>
      <c r="T300" s="376"/>
      <c r="U300" s="61">
        <v>0</v>
      </c>
      <c r="V300" s="342"/>
      <c r="W300" s="61">
        <v>0</v>
      </c>
      <c r="X300" s="342"/>
      <c r="Y300" s="211" t="e">
        <f t="shared" si="783"/>
        <v>#N/A</v>
      </c>
      <c r="Z300" s="370"/>
      <c r="AA300" s="61">
        <v>0</v>
      </c>
      <c r="AB300" s="351"/>
      <c r="AC300" s="61">
        <v>0</v>
      </c>
      <c r="AD300" s="351"/>
      <c r="AE300" s="73" t="e">
        <f t="shared" si="642"/>
        <v>#N/A</v>
      </c>
      <c r="AF300" s="356"/>
      <c r="AG300" s="73" t="e">
        <f t="shared" si="643"/>
        <v>#N/A</v>
      </c>
      <c r="AH300" s="356"/>
      <c r="AI300" s="221">
        <f t="shared" si="777"/>
        <v>29.26</v>
      </c>
      <c r="AJ300" s="78">
        <f t="shared" ref="AJ300:AP300" si="794">AJ299</f>
        <v>0.26750000000000002</v>
      </c>
      <c r="AK300" s="79">
        <f t="shared" si="794"/>
        <v>9.9166666666666661</v>
      </c>
      <c r="AL300" s="80">
        <f t="shared" si="794"/>
        <v>187</v>
      </c>
      <c r="AM300" s="78">
        <f t="shared" si="794"/>
        <v>9.737942583732058E-2</v>
      </c>
      <c r="AN300" s="80">
        <f t="shared" si="794"/>
        <v>143</v>
      </c>
      <c r="AO300" s="78">
        <f t="shared" si="794"/>
        <v>0.21099999999999999</v>
      </c>
      <c r="AP300" s="88">
        <f t="shared" si="794"/>
        <v>12</v>
      </c>
      <c r="AQ300" s="64">
        <f t="shared" si="710"/>
        <v>21.5</v>
      </c>
      <c r="AR300" s="64">
        <f t="shared" si="711"/>
        <v>11.5</v>
      </c>
      <c r="AS300" s="88">
        <f t="shared" si="712"/>
        <v>1.1830000000000001</v>
      </c>
      <c r="AT300" s="91">
        <f t="shared" si="789"/>
        <v>0</v>
      </c>
      <c r="AU300" s="94"/>
      <c r="AV300" s="95"/>
      <c r="AW300" s="56">
        <f t="shared" si="689"/>
        <v>0</v>
      </c>
      <c r="AX300" s="351"/>
      <c r="AY300" s="100">
        <f t="shared" si="716"/>
        <v>9.9166666666666661</v>
      </c>
      <c r="AZ300" s="360"/>
      <c r="BA300" s="91">
        <f t="shared" si="771"/>
        <v>-2890.3625469999934</v>
      </c>
      <c r="BB300" s="5">
        <f t="shared" si="645"/>
        <v>-9.9166666666666661</v>
      </c>
      <c r="BC300" s="363"/>
      <c r="BD300" s="91" t="e">
        <f t="shared" ca="1" si="690"/>
        <v>#N/A</v>
      </c>
      <c r="BE300" s="91" t="e">
        <f t="shared" ca="1" si="691"/>
        <v>#N/A</v>
      </c>
      <c r="BF300" s="91">
        <f t="shared" si="692"/>
        <v>31.833333333333329</v>
      </c>
      <c r="BG300" s="91" t="e">
        <f t="shared" ca="1" si="693"/>
        <v>#N/A</v>
      </c>
      <c r="BH300" s="91" t="e">
        <f t="shared" ca="1" si="737"/>
        <v>#N/A</v>
      </c>
      <c r="BI300" s="10" t="e">
        <f t="shared" ca="1" si="707"/>
        <v>#N/A</v>
      </c>
      <c r="BJ300" s="104">
        <f>((M300+Q300)*AJ300+AK300)+((U300-W300+W300/('Vergleich Holz Strom'!$B$8-0.6))*AO300+AP300)</f>
        <v>21.916666666666664</v>
      </c>
      <c r="BK300" s="10" t="e">
        <f t="shared" ca="1" si="646"/>
        <v>#N/A</v>
      </c>
      <c r="BL300" s="379"/>
      <c r="BM300" s="104" t="e">
        <f t="shared" ca="1" si="703"/>
        <v>#N/A</v>
      </c>
      <c r="BN300" s="40" t="e">
        <f ca="1">IF(ISNUMBER(BK300),BN299+SUMIF(BK290:BK301,"&lt;&gt;#NV",BK290:BK301)/COUNTIF(BK290:BK301,"&lt;&gt;#NV"),#N/A)</f>
        <v>#N/A</v>
      </c>
      <c r="BO300" s="10" t="e">
        <f t="shared" ref="BO300:BO301" ca="1" si="795">BK300+AT300+AU300</f>
        <v>#N/A</v>
      </c>
      <c r="BP300" s="104" t="e">
        <f t="shared" ca="1" si="647"/>
        <v>#N/A</v>
      </c>
      <c r="BQ300" s="104">
        <f t="shared" ca="1" si="667"/>
        <v>-58040.902562162955</v>
      </c>
      <c r="BR300" s="10">
        <f t="shared" si="694"/>
        <v>9.9166666666666661</v>
      </c>
      <c r="BS300" s="311"/>
      <c r="BT300" s="307"/>
      <c r="BU300" s="295">
        <f t="shared" si="695"/>
        <v>0</v>
      </c>
      <c r="BV300" s="323"/>
      <c r="BW300" s="299">
        <f t="shared" si="696"/>
        <v>0</v>
      </c>
      <c r="BX300" s="295">
        <f t="shared" si="697"/>
        <v>0</v>
      </c>
      <c r="BY300" s="382"/>
      <c r="BZ300" s="299">
        <f t="shared" si="704"/>
        <v>0</v>
      </c>
      <c r="CA300" s="295">
        <f t="shared" si="708"/>
        <v>0</v>
      </c>
      <c r="CB300" s="323"/>
      <c r="CC300" s="314">
        <f t="shared" si="779"/>
        <v>0</v>
      </c>
      <c r="CD300" s="326"/>
      <c r="CE300" s="299">
        <f t="shared" si="698"/>
        <v>0</v>
      </c>
      <c r="CF300" s="284">
        <f t="shared" si="780"/>
        <v>0</v>
      </c>
      <c r="CG300" s="323"/>
      <c r="CH300" s="302">
        <f t="shared" si="733"/>
        <v>0</v>
      </c>
      <c r="CI300" s="108">
        <f t="shared" si="699"/>
        <v>0</v>
      </c>
      <c r="CJ300" s="200">
        <f t="shared" si="700"/>
        <v>0</v>
      </c>
      <c r="CK300" s="197">
        <f t="shared" si="714"/>
        <v>0</v>
      </c>
      <c r="CL300" s="203">
        <f t="shared" si="701"/>
        <v>12</v>
      </c>
      <c r="CM300" s="4">
        <f>U300*Jahresdaten!$AD$2</f>
        <v>0</v>
      </c>
      <c r="CN300" s="112">
        <f>CJ300*Jahresdaten!$AD$2</f>
        <v>0</v>
      </c>
      <c r="CO300" s="366"/>
      <c r="CP300" s="116">
        <f>U300*Jahresdaten!$AD$3</f>
        <v>0</v>
      </c>
      <c r="CQ300" s="12">
        <f>CJ300*Jahresdaten!$AD$3</f>
        <v>0</v>
      </c>
      <c r="CR300" s="353"/>
      <c r="CS300" s="14"/>
      <c r="CT300" s="136"/>
      <c r="CU300" s="140" t="str">
        <f>IF(CT300=0,"",CT300*'Vergleich Holz Strom'!$B$2)</f>
        <v/>
      </c>
      <c r="CV300" s="353"/>
      <c r="CW300" s="366"/>
      <c r="CX300" s="345"/>
      <c r="CY300" s="345"/>
      <c r="CZ300" s="345"/>
      <c r="DA300" s="348"/>
      <c r="DB300" s="94"/>
      <c r="DC300" s="88">
        <f t="shared" si="793"/>
        <v>50840.42800000016</v>
      </c>
      <c r="DD300" s="94"/>
      <c r="DE300" s="88">
        <f t="shared" ref="DE300:DE301" si="796">DE299+(AC300*AM300-AN300)-DD300</f>
        <v>-40150.112546999997</v>
      </c>
      <c r="DF300" s="100" t="e">
        <f ca="1">BE300+(SUM(CS290:CS301)/12)</f>
        <v>#N/A</v>
      </c>
      <c r="DG300" s="351"/>
      <c r="DH300" s="8">
        <f t="shared" si="772"/>
        <v>0</v>
      </c>
      <c r="DI300" s="123">
        <f t="shared" si="648"/>
        <v>19300</v>
      </c>
      <c r="DJ300" s="2">
        <f t="shared" si="773"/>
        <v>0</v>
      </c>
      <c r="DK300" s="127">
        <f>DK301/12*11</f>
        <v>7150</v>
      </c>
      <c r="DL300" s="2">
        <f t="shared" si="786"/>
        <v>650</v>
      </c>
      <c r="DM300" s="130">
        <f t="shared" si="774"/>
        <v>0</v>
      </c>
      <c r="DN300" s="3">
        <f>DN301/12*11</f>
        <v>2750</v>
      </c>
      <c r="DO300" s="130">
        <f t="shared" si="787"/>
        <v>250</v>
      </c>
      <c r="DP300" s="4">
        <f t="shared" si="775"/>
        <v>0</v>
      </c>
      <c r="DQ300" s="116">
        <f t="shared" si="776"/>
        <v>9400</v>
      </c>
      <c r="DR300" s="116">
        <f t="shared" si="781"/>
        <v>150</v>
      </c>
    </row>
    <row r="301" spans="1:122" s="28" customFormat="1" ht="15" customHeight="1" thickBot="1" x14ac:dyDescent="0.2">
      <c r="A301" s="417"/>
      <c r="B301" s="18">
        <v>52475</v>
      </c>
      <c r="C301" s="208">
        <f>'PV-Felder'!$I$10</f>
        <v>2246.7000000000003</v>
      </c>
      <c r="D301" s="352"/>
      <c r="E301" s="63">
        <v>0</v>
      </c>
      <c r="F301" s="352"/>
      <c r="G301" s="57" t="e">
        <f t="shared" ca="1" si="686"/>
        <v>#N/A</v>
      </c>
      <c r="H301" s="352"/>
      <c r="I301" s="63">
        <v>0</v>
      </c>
      <c r="J301" s="352"/>
      <c r="K301" s="63">
        <v>0</v>
      </c>
      <c r="L301" s="352"/>
      <c r="M301" s="67">
        <f t="shared" si="705"/>
        <v>0</v>
      </c>
      <c r="N301" s="374"/>
      <c r="O301" s="290"/>
      <c r="P301" s="290"/>
      <c r="Q301" s="291">
        <f t="shared" si="687"/>
        <v>0</v>
      </c>
      <c r="R301" s="337"/>
      <c r="S301" s="63">
        <v>0</v>
      </c>
      <c r="T301" s="377"/>
      <c r="U301" s="63">
        <v>0</v>
      </c>
      <c r="V301" s="343"/>
      <c r="W301" s="63">
        <v>0</v>
      </c>
      <c r="X301" s="343"/>
      <c r="Y301" s="213" t="e">
        <f t="shared" si="783"/>
        <v>#N/A</v>
      </c>
      <c r="Z301" s="371"/>
      <c r="AA301" s="63">
        <v>0</v>
      </c>
      <c r="AB301" s="352"/>
      <c r="AC301" s="63">
        <v>0</v>
      </c>
      <c r="AD301" s="352"/>
      <c r="AE301" s="75" t="e">
        <f t="shared" si="642"/>
        <v>#N/A</v>
      </c>
      <c r="AF301" s="357"/>
      <c r="AG301" s="75" t="e">
        <f t="shared" si="643"/>
        <v>#N/A</v>
      </c>
      <c r="AH301" s="357"/>
      <c r="AI301" s="223">
        <f>AI300</f>
        <v>29.26</v>
      </c>
      <c r="AJ301" s="83">
        <f t="shared" ref="AJ301:AP301" si="797">AJ300</f>
        <v>0.26750000000000002</v>
      </c>
      <c r="AK301" s="21">
        <f t="shared" si="797"/>
        <v>9.9166666666666661</v>
      </c>
      <c r="AL301" s="84">
        <f t="shared" si="797"/>
        <v>187</v>
      </c>
      <c r="AM301" s="83">
        <f t="shared" si="797"/>
        <v>9.737942583732058E-2</v>
      </c>
      <c r="AN301" s="84">
        <f t="shared" si="797"/>
        <v>143</v>
      </c>
      <c r="AO301" s="83">
        <f t="shared" si="797"/>
        <v>0.21099999999999999</v>
      </c>
      <c r="AP301" s="90">
        <f t="shared" si="797"/>
        <v>12</v>
      </c>
      <c r="AQ301" s="125">
        <f t="shared" si="710"/>
        <v>21.5</v>
      </c>
      <c r="AR301" s="125">
        <f t="shared" si="711"/>
        <v>11.5</v>
      </c>
      <c r="AS301" s="92">
        <f t="shared" si="712"/>
        <v>1.1830000000000001</v>
      </c>
      <c r="AT301" s="92">
        <f t="shared" si="789"/>
        <v>0</v>
      </c>
      <c r="AU301" s="98"/>
      <c r="AV301" s="99"/>
      <c r="AW301" s="57">
        <f t="shared" si="689"/>
        <v>0</v>
      </c>
      <c r="AX301" s="352"/>
      <c r="AY301" s="102">
        <f t="shared" si="716"/>
        <v>9.9166666666666661</v>
      </c>
      <c r="AZ301" s="361"/>
      <c r="BA301" s="92">
        <f t="shared" si="771"/>
        <v>-2900.2792136666599</v>
      </c>
      <c r="BB301" s="22">
        <f t="shared" si="645"/>
        <v>-9.9166666666666661</v>
      </c>
      <c r="BC301" s="364"/>
      <c r="BD301" s="92" t="e">
        <f t="shared" ca="1" si="690"/>
        <v>#N/A</v>
      </c>
      <c r="BE301" s="92" t="e">
        <f t="shared" ca="1" si="691"/>
        <v>#N/A</v>
      </c>
      <c r="BF301" s="92">
        <f t="shared" si="692"/>
        <v>31.833333333333329</v>
      </c>
      <c r="BG301" s="92" t="e">
        <f t="shared" ca="1" si="693"/>
        <v>#N/A</v>
      </c>
      <c r="BH301" s="92" t="e">
        <f t="shared" ca="1" si="737"/>
        <v>#N/A</v>
      </c>
      <c r="BI301" s="24" t="e">
        <f t="shared" ca="1" si="707"/>
        <v>#N/A</v>
      </c>
      <c r="BJ301" s="106">
        <f>((M301+Q301)*AJ301+AK301)+((U301-W301+W301/('Vergleich Holz Strom'!$B$8-0.6))*AO301+AP301)</f>
        <v>21.916666666666664</v>
      </c>
      <c r="BK301" s="24" t="e">
        <f t="shared" ca="1" si="646"/>
        <v>#N/A</v>
      </c>
      <c r="BL301" s="380"/>
      <c r="BM301" s="106" t="e">
        <f t="shared" ca="1" si="703"/>
        <v>#N/A</v>
      </c>
      <c r="BN301" s="226" t="e">
        <f ca="1">IF(ISNUMBER(BK301),BN300+SUMIF(BK290:BK301,"&lt;&gt;#NV",BK290:BK301)/COUNTIF(BK290:BK301,"&lt;&gt;#NV"),#N/A)</f>
        <v>#N/A</v>
      </c>
      <c r="BO301" s="318" t="e">
        <f t="shared" ca="1" si="795"/>
        <v>#N/A</v>
      </c>
      <c r="BP301" s="106" t="e">
        <f t="shared" ca="1" si="647"/>
        <v>#N/A</v>
      </c>
      <c r="BQ301" s="106">
        <f t="shared" ca="1" si="667"/>
        <v>-58024.702575640302</v>
      </c>
      <c r="BR301" s="24">
        <f t="shared" si="694"/>
        <v>9.9166666666666661</v>
      </c>
      <c r="BS301" s="312"/>
      <c r="BT301" s="308"/>
      <c r="BU301" s="296">
        <f t="shared" si="695"/>
        <v>0</v>
      </c>
      <c r="BV301" s="324"/>
      <c r="BW301" s="292">
        <f t="shared" si="696"/>
        <v>0</v>
      </c>
      <c r="BX301" s="296">
        <f t="shared" si="697"/>
        <v>0</v>
      </c>
      <c r="BY301" s="382"/>
      <c r="BZ301" s="292">
        <f t="shared" si="704"/>
        <v>0</v>
      </c>
      <c r="CA301" s="296">
        <f t="shared" si="708"/>
        <v>0</v>
      </c>
      <c r="CB301" s="324"/>
      <c r="CC301" s="315">
        <f t="shared" si="779"/>
        <v>0</v>
      </c>
      <c r="CD301" s="327"/>
      <c r="CE301" s="292">
        <f t="shared" si="698"/>
        <v>0</v>
      </c>
      <c r="CF301" s="296">
        <f t="shared" si="780"/>
        <v>0</v>
      </c>
      <c r="CG301" s="324"/>
      <c r="CH301" s="303">
        <f t="shared" si="733"/>
        <v>0</v>
      </c>
      <c r="CI301" s="110">
        <f t="shared" si="699"/>
        <v>0</v>
      </c>
      <c r="CJ301" s="199">
        <f t="shared" si="700"/>
        <v>0</v>
      </c>
      <c r="CK301" s="25">
        <f t="shared" si="714"/>
        <v>0</v>
      </c>
      <c r="CL301" s="204">
        <f t="shared" si="701"/>
        <v>12</v>
      </c>
      <c r="CM301" s="26">
        <f>U301*Jahresdaten!$AD$2</f>
        <v>0</v>
      </c>
      <c r="CN301" s="114">
        <f>CJ301*Jahresdaten!$AD$2</f>
        <v>0</v>
      </c>
      <c r="CO301" s="346"/>
      <c r="CP301" s="118">
        <f>U301*Jahresdaten!$AD$3</f>
        <v>0</v>
      </c>
      <c r="CQ301" s="25">
        <f>CJ301*Jahresdaten!$AD$3</f>
        <v>0</v>
      </c>
      <c r="CR301" s="354"/>
      <c r="CS301" s="23"/>
      <c r="CT301" s="138"/>
      <c r="CU301" s="141" t="str">
        <f>IF(CT301=0,"",CT301*'Vergleich Holz Strom'!$B$2)</f>
        <v/>
      </c>
      <c r="CV301" s="354"/>
      <c r="CW301" s="346"/>
      <c r="CX301" s="346"/>
      <c r="CY301" s="346"/>
      <c r="CZ301" s="346"/>
      <c r="DA301" s="349"/>
      <c r="DB301" s="98"/>
      <c r="DC301" s="90">
        <f t="shared" si="793"/>
        <v>51017.511333333496</v>
      </c>
      <c r="DD301" s="98"/>
      <c r="DE301" s="90">
        <f t="shared" si="796"/>
        <v>-40293.112546999997</v>
      </c>
      <c r="DF301" s="102" t="e">
        <f ca="1">BE301+(SUM(CS290:CS301)/12)</f>
        <v>#N/A</v>
      </c>
      <c r="DG301" s="352"/>
      <c r="DH301" s="19">
        <f t="shared" si="772"/>
        <v>0</v>
      </c>
      <c r="DI301" s="125">
        <f t="shared" si="648"/>
        <v>20800</v>
      </c>
      <c r="DJ301" s="20">
        <f t="shared" si="773"/>
        <v>0</v>
      </c>
      <c r="DK301" s="129">
        <f>DK289</f>
        <v>7800</v>
      </c>
      <c r="DL301" s="20">
        <f t="shared" si="786"/>
        <v>650</v>
      </c>
      <c r="DM301" s="132">
        <f t="shared" si="774"/>
        <v>0</v>
      </c>
      <c r="DN301" s="27">
        <f>DN289</f>
        <v>3000</v>
      </c>
      <c r="DO301" s="132">
        <f t="shared" si="787"/>
        <v>250</v>
      </c>
      <c r="DP301" s="26">
        <f t="shared" si="775"/>
        <v>0</v>
      </c>
      <c r="DQ301" s="118">
        <f>DQ289</f>
        <v>10000</v>
      </c>
      <c r="DR301" s="118">
        <f>DR289</f>
        <v>600</v>
      </c>
    </row>
    <row r="302" spans="1:122" x14ac:dyDescent="0.15">
      <c r="B302" s="16">
        <v>52505</v>
      </c>
    </row>
  </sheetData>
  <sheetProtection sheet="1" selectLockedCells="1"/>
  <mergeCells count="900">
    <mergeCell ref="BY230:BY241"/>
    <mergeCell ref="BY242:BY253"/>
    <mergeCell ref="BY254:BY265"/>
    <mergeCell ref="BY266:BY277"/>
    <mergeCell ref="BY278:BY289"/>
    <mergeCell ref="BY290:BY301"/>
    <mergeCell ref="BY26:BY37"/>
    <mergeCell ref="BY38:BY49"/>
    <mergeCell ref="BY50:BY61"/>
    <mergeCell ref="BY62:BY73"/>
    <mergeCell ref="BY74:BY85"/>
    <mergeCell ref="BY86:BY97"/>
    <mergeCell ref="BY98:BY109"/>
    <mergeCell ref="BY110:BY121"/>
    <mergeCell ref="BY122:BY133"/>
    <mergeCell ref="BL278:BL289"/>
    <mergeCell ref="BL290:BL301"/>
    <mergeCell ref="A206:A217"/>
    <mergeCell ref="A218:A229"/>
    <mergeCell ref="A230:A241"/>
    <mergeCell ref="A242:A253"/>
    <mergeCell ref="A254:A265"/>
    <mergeCell ref="A266:A277"/>
    <mergeCell ref="A278:A289"/>
    <mergeCell ref="A290:A301"/>
    <mergeCell ref="N206:N217"/>
    <mergeCell ref="T206:T217"/>
    <mergeCell ref="V206:V217"/>
    <mergeCell ref="AB206:AB217"/>
    <mergeCell ref="AD206:AD217"/>
    <mergeCell ref="D206:D217"/>
    <mergeCell ref="F206:F217"/>
    <mergeCell ref="H206:H217"/>
    <mergeCell ref="J206:J217"/>
    <mergeCell ref="L206:L217"/>
    <mergeCell ref="Z206:Z217"/>
    <mergeCell ref="X206:X217"/>
    <mergeCell ref="N218:N229"/>
    <mergeCell ref="T218:T229"/>
    <mergeCell ref="A110:A121"/>
    <mergeCell ref="A122:A133"/>
    <mergeCell ref="A134:A145"/>
    <mergeCell ref="A146:A157"/>
    <mergeCell ref="A158:A169"/>
    <mergeCell ref="A170:A181"/>
    <mergeCell ref="A182:A193"/>
    <mergeCell ref="A194:A205"/>
    <mergeCell ref="BL230:BL241"/>
    <mergeCell ref="N110:N121"/>
    <mergeCell ref="T110:T121"/>
    <mergeCell ref="V110:V121"/>
    <mergeCell ref="AB110:AB121"/>
    <mergeCell ref="AD110:AD121"/>
    <mergeCell ref="D110:D121"/>
    <mergeCell ref="F110:F121"/>
    <mergeCell ref="H110:H121"/>
    <mergeCell ref="J110:J121"/>
    <mergeCell ref="L110:L121"/>
    <mergeCell ref="Z110:Z121"/>
    <mergeCell ref="X110:X121"/>
    <mergeCell ref="N122:N133"/>
    <mergeCell ref="T122:T133"/>
    <mergeCell ref="V122:V133"/>
    <mergeCell ref="A2:A13"/>
    <mergeCell ref="A14:A25"/>
    <mergeCell ref="A26:A37"/>
    <mergeCell ref="A38:A49"/>
    <mergeCell ref="A50:A61"/>
    <mergeCell ref="A62:A73"/>
    <mergeCell ref="A74:A85"/>
    <mergeCell ref="A86:A97"/>
    <mergeCell ref="A98:A109"/>
    <mergeCell ref="J26:J37"/>
    <mergeCell ref="J38:J49"/>
    <mergeCell ref="L14:L25"/>
    <mergeCell ref="L26:L37"/>
    <mergeCell ref="L38:L49"/>
    <mergeCell ref="AB2:AB13"/>
    <mergeCell ref="AB14:AB25"/>
    <mergeCell ref="AB26:AB37"/>
    <mergeCell ref="AB38:AB49"/>
    <mergeCell ref="AY1:AZ1"/>
    <mergeCell ref="CV1:CW1"/>
    <mergeCell ref="DF1:DG1"/>
    <mergeCell ref="AE1:AF1"/>
    <mergeCell ref="AG1:AH1"/>
    <mergeCell ref="AA1:AB1"/>
    <mergeCell ref="AC1:AD1"/>
    <mergeCell ref="J2:J13"/>
    <mergeCell ref="L2:L13"/>
    <mergeCell ref="AD2:AD13"/>
    <mergeCell ref="AX2:AX13"/>
    <mergeCell ref="AZ2:AZ13"/>
    <mergeCell ref="CX2:CX13"/>
    <mergeCell ref="CY2:CY13"/>
    <mergeCell ref="DA2:DA13"/>
    <mergeCell ref="AH2:AH13"/>
    <mergeCell ref="BK1:BL1"/>
    <mergeCell ref="BL2:BL13"/>
    <mergeCell ref="BX1:BY1"/>
    <mergeCell ref="BY2:BY13"/>
    <mergeCell ref="BU1:BV1"/>
    <mergeCell ref="CA1:CB1"/>
    <mergeCell ref="AZ14:AZ25"/>
    <mergeCell ref="N2:N13"/>
    <mergeCell ref="N14:N25"/>
    <mergeCell ref="T2:T13"/>
    <mergeCell ref="T14:T25"/>
    <mergeCell ref="H14:H25"/>
    <mergeCell ref="V2:V13"/>
    <mergeCell ref="V14:V25"/>
    <mergeCell ref="AF2:AF13"/>
    <mergeCell ref="AF14:AF25"/>
    <mergeCell ref="AH14:AH25"/>
    <mergeCell ref="J14:J25"/>
    <mergeCell ref="AD14:AD25"/>
    <mergeCell ref="AX14:AX25"/>
    <mergeCell ref="X2:X13"/>
    <mergeCell ref="X14:X25"/>
    <mergeCell ref="Z2:Z13"/>
    <mergeCell ref="Z14:Z25"/>
    <mergeCell ref="R2:R13"/>
    <mergeCell ref="R14:R25"/>
    <mergeCell ref="C1:D1"/>
    <mergeCell ref="E1:F1"/>
    <mergeCell ref="G1:H1"/>
    <mergeCell ref="M1:N1"/>
    <mergeCell ref="S1:T1"/>
    <mergeCell ref="I1:J1"/>
    <mergeCell ref="K1:L1"/>
    <mergeCell ref="U1:V1"/>
    <mergeCell ref="AW1:AX1"/>
    <mergeCell ref="W1:X1"/>
    <mergeCell ref="Y1:Z1"/>
    <mergeCell ref="O1:R1"/>
    <mergeCell ref="CV15:CV19"/>
    <mergeCell ref="CV21:CV25"/>
    <mergeCell ref="BC14:BC25"/>
    <mergeCell ref="DG2:DG13"/>
    <mergeCell ref="DG14:DG25"/>
    <mergeCell ref="CW14:CW25"/>
    <mergeCell ref="CO14:CO25"/>
    <mergeCell ref="CR14:CR25"/>
    <mergeCell ref="CW2:CW13"/>
    <mergeCell ref="BC2:BC13"/>
    <mergeCell ref="CO2:CO13"/>
    <mergeCell ref="CR2:CR13"/>
    <mergeCell ref="CV3:CV7"/>
    <mergeCell ref="CV9:CV13"/>
    <mergeCell ref="CX14:CX25"/>
    <mergeCell ref="CY14:CY25"/>
    <mergeCell ref="DA14:DA25"/>
    <mergeCell ref="CZ2:CZ13"/>
    <mergeCell ref="CZ14:CZ25"/>
    <mergeCell ref="BL14:BL25"/>
    <mergeCell ref="CG2:CG13"/>
    <mergeCell ref="CG14:CG25"/>
    <mergeCell ref="BY14:BY25"/>
    <mergeCell ref="CB2:CB13"/>
    <mergeCell ref="CO26:CO37"/>
    <mergeCell ref="CR26:CR37"/>
    <mergeCell ref="CW26:CW37"/>
    <mergeCell ref="DG26:DG37"/>
    <mergeCell ref="CV27:CV31"/>
    <mergeCell ref="CV33:CV37"/>
    <mergeCell ref="N26:N37"/>
    <mergeCell ref="T26:T37"/>
    <mergeCell ref="AX26:AX37"/>
    <mergeCell ref="AZ26:AZ37"/>
    <mergeCell ref="BC26:BC37"/>
    <mergeCell ref="V26:V37"/>
    <mergeCell ref="AF26:AF37"/>
    <mergeCell ref="AH26:AH37"/>
    <mergeCell ref="AD26:AD37"/>
    <mergeCell ref="CX26:CX37"/>
    <mergeCell ref="CY26:CY37"/>
    <mergeCell ref="DA26:DA37"/>
    <mergeCell ref="CZ26:CZ37"/>
    <mergeCell ref="X26:X37"/>
    <mergeCell ref="BL26:BL37"/>
    <mergeCell ref="Z26:Z37"/>
    <mergeCell ref="R26:R37"/>
    <mergeCell ref="CG26:CG37"/>
    <mergeCell ref="CZ38:CZ49"/>
    <mergeCell ref="CO38:CO49"/>
    <mergeCell ref="CR38:CR49"/>
    <mergeCell ref="CW38:CW49"/>
    <mergeCell ref="DG38:DG49"/>
    <mergeCell ref="CV39:CV43"/>
    <mergeCell ref="CV45:CV49"/>
    <mergeCell ref="N38:N49"/>
    <mergeCell ref="T38:T49"/>
    <mergeCell ref="AX38:AX49"/>
    <mergeCell ref="AZ38:AZ49"/>
    <mergeCell ref="BC38:BC49"/>
    <mergeCell ref="V38:V49"/>
    <mergeCell ref="AF38:AF49"/>
    <mergeCell ref="AH38:AH49"/>
    <mergeCell ref="AD38:AD49"/>
    <mergeCell ref="CX38:CX49"/>
    <mergeCell ref="CY38:CY49"/>
    <mergeCell ref="DA38:DA49"/>
    <mergeCell ref="X38:X49"/>
    <mergeCell ref="BL38:BL49"/>
    <mergeCell ref="Z38:Z49"/>
    <mergeCell ref="R38:R49"/>
    <mergeCell ref="CG38:CG49"/>
    <mergeCell ref="N50:N61"/>
    <mergeCell ref="T50:T61"/>
    <mergeCell ref="V50:V61"/>
    <mergeCell ref="AB50:AB61"/>
    <mergeCell ref="AD50:AD61"/>
    <mergeCell ref="D50:D61"/>
    <mergeCell ref="F50:F61"/>
    <mergeCell ref="H50:H61"/>
    <mergeCell ref="J50:J61"/>
    <mergeCell ref="L50:L61"/>
    <mergeCell ref="X50:X61"/>
    <mergeCell ref="Z50:Z61"/>
    <mergeCell ref="R50:R61"/>
    <mergeCell ref="H26:H37"/>
    <mergeCell ref="H38:H49"/>
    <mergeCell ref="D2:D13"/>
    <mergeCell ref="D14:D25"/>
    <mergeCell ref="D26:D37"/>
    <mergeCell ref="D38:D49"/>
    <mergeCell ref="F2:F13"/>
    <mergeCell ref="F14:F25"/>
    <mergeCell ref="F26:F37"/>
    <mergeCell ref="F38:F49"/>
    <mergeCell ref="H2:H13"/>
    <mergeCell ref="CO50:CO61"/>
    <mergeCell ref="CR50:CR61"/>
    <mergeCell ref="CW50:CW61"/>
    <mergeCell ref="DG50:DG61"/>
    <mergeCell ref="CV51:CV55"/>
    <mergeCell ref="CV57:CV61"/>
    <mergeCell ref="AF50:AF61"/>
    <mergeCell ref="AH50:AH61"/>
    <mergeCell ref="AX50:AX61"/>
    <mergeCell ref="AZ50:AZ61"/>
    <mergeCell ref="BC50:BC61"/>
    <mergeCell ref="CZ50:CZ61"/>
    <mergeCell ref="CX50:CX61"/>
    <mergeCell ref="CY50:CY61"/>
    <mergeCell ref="DA50:DA61"/>
    <mergeCell ref="BL50:BL61"/>
    <mergeCell ref="CG50:CG61"/>
    <mergeCell ref="N62:N73"/>
    <mergeCell ref="T62:T73"/>
    <mergeCell ref="V62:V73"/>
    <mergeCell ref="AB62:AB73"/>
    <mergeCell ref="AD62:AD73"/>
    <mergeCell ref="D62:D73"/>
    <mergeCell ref="F62:F73"/>
    <mergeCell ref="H62:H73"/>
    <mergeCell ref="J62:J73"/>
    <mergeCell ref="L62:L73"/>
    <mergeCell ref="X62:X73"/>
    <mergeCell ref="Z62:Z73"/>
    <mergeCell ref="R62:R73"/>
    <mergeCell ref="DG62:DG73"/>
    <mergeCell ref="CV63:CV67"/>
    <mergeCell ref="CV69:CV73"/>
    <mergeCell ref="AF62:AF73"/>
    <mergeCell ref="AH62:AH73"/>
    <mergeCell ref="AX62:AX73"/>
    <mergeCell ref="AZ62:AZ73"/>
    <mergeCell ref="BC62:BC73"/>
    <mergeCell ref="CX62:CX73"/>
    <mergeCell ref="CY62:CY73"/>
    <mergeCell ref="DA62:DA73"/>
    <mergeCell ref="CZ62:CZ73"/>
    <mergeCell ref="CO62:CO73"/>
    <mergeCell ref="CR62:CR73"/>
    <mergeCell ref="CW62:CW73"/>
    <mergeCell ref="BL62:BL73"/>
    <mergeCell ref="CG62:CG73"/>
    <mergeCell ref="N74:N85"/>
    <mergeCell ref="T74:T85"/>
    <mergeCell ref="V74:V85"/>
    <mergeCell ref="AB74:AB85"/>
    <mergeCell ref="AD74:AD85"/>
    <mergeCell ref="D74:D85"/>
    <mergeCell ref="F74:F85"/>
    <mergeCell ref="H74:H85"/>
    <mergeCell ref="J74:J85"/>
    <mergeCell ref="L74:L85"/>
    <mergeCell ref="X74:X85"/>
    <mergeCell ref="Z74:Z85"/>
    <mergeCell ref="R74:R85"/>
    <mergeCell ref="DG74:DG85"/>
    <mergeCell ref="CV75:CV79"/>
    <mergeCell ref="CV81:CV85"/>
    <mergeCell ref="AF74:AF85"/>
    <mergeCell ref="AH74:AH85"/>
    <mergeCell ref="AX74:AX85"/>
    <mergeCell ref="AZ74:AZ85"/>
    <mergeCell ref="BC74:BC85"/>
    <mergeCell ref="CX74:CX85"/>
    <mergeCell ref="CY74:CY85"/>
    <mergeCell ref="DA74:DA85"/>
    <mergeCell ref="CZ74:CZ85"/>
    <mergeCell ref="CO74:CO85"/>
    <mergeCell ref="CR74:CR85"/>
    <mergeCell ref="CW74:CW85"/>
    <mergeCell ref="BL74:BL85"/>
    <mergeCell ref="CG74:CG85"/>
    <mergeCell ref="N86:N97"/>
    <mergeCell ref="T86:T97"/>
    <mergeCell ref="V86:V97"/>
    <mergeCell ref="AB86:AB97"/>
    <mergeCell ref="AD86:AD97"/>
    <mergeCell ref="D86:D97"/>
    <mergeCell ref="F86:F97"/>
    <mergeCell ref="H86:H97"/>
    <mergeCell ref="J86:J97"/>
    <mergeCell ref="L86:L97"/>
    <mergeCell ref="X86:X97"/>
    <mergeCell ref="Z86:Z97"/>
    <mergeCell ref="R86:R97"/>
    <mergeCell ref="DG86:DG97"/>
    <mergeCell ref="CV87:CV91"/>
    <mergeCell ref="CV93:CV97"/>
    <mergeCell ref="AF86:AF97"/>
    <mergeCell ref="AH86:AH97"/>
    <mergeCell ref="AX86:AX97"/>
    <mergeCell ref="AZ86:AZ97"/>
    <mergeCell ref="BC86:BC97"/>
    <mergeCell ref="CX86:CX97"/>
    <mergeCell ref="CY86:CY97"/>
    <mergeCell ref="DA86:DA97"/>
    <mergeCell ref="CZ86:CZ97"/>
    <mergeCell ref="CO86:CO97"/>
    <mergeCell ref="CR86:CR97"/>
    <mergeCell ref="CW86:CW97"/>
    <mergeCell ref="BL86:BL97"/>
    <mergeCell ref="CG86:CG97"/>
    <mergeCell ref="N98:N109"/>
    <mergeCell ref="T98:T109"/>
    <mergeCell ref="V98:V109"/>
    <mergeCell ref="AB98:AB109"/>
    <mergeCell ref="AD98:AD109"/>
    <mergeCell ref="D98:D109"/>
    <mergeCell ref="F98:F109"/>
    <mergeCell ref="H98:H109"/>
    <mergeCell ref="J98:J109"/>
    <mergeCell ref="L98:L109"/>
    <mergeCell ref="Z98:Z109"/>
    <mergeCell ref="X98:X109"/>
    <mergeCell ref="R98:R109"/>
    <mergeCell ref="DG98:DG109"/>
    <mergeCell ref="CV99:CV103"/>
    <mergeCell ref="CV105:CV109"/>
    <mergeCell ref="AF98:AF109"/>
    <mergeCell ref="AH98:AH109"/>
    <mergeCell ref="AX98:AX109"/>
    <mergeCell ref="AZ98:AZ109"/>
    <mergeCell ref="BC98:BC109"/>
    <mergeCell ref="CX98:CX109"/>
    <mergeCell ref="CY98:CY109"/>
    <mergeCell ref="DA98:DA109"/>
    <mergeCell ref="CZ98:CZ109"/>
    <mergeCell ref="CO98:CO109"/>
    <mergeCell ref="CR98:CR109"/>
    <mergeCell ref="CW98:CW109"/>
    <mergeCell ref="BL98:BL109"/>
    <mergeCell ref="CG98:CG109"/>
    <mergeCell ref="DG110:DG121"/>
    <mergeCell ref="CV111:CV115"/>
    <mergeCell ref="CV117:CV121"/>
    <mergeCell ref="AF110:AF121"/>
    <mergeCell ref="AH110:AH121"/>
    <mergeCell ref="AX110:AX121"/>
    <mergeCell ref="AZ110:AZ121"/>
    <mergeCell ref="BC110:BC121"/>
    <mergeCell ref="CX110:CX121"/>
    <mergeCell ref="CY110:CY121"/>
    <mergeCell ref="DA110:DA121"/>
    <mergeCell ref="CZ110:CZ121"/>
    <mergeCell ref="CO110:CO121"/>
    <mergeCell ref="CR110:CR121"/>
    <mergeCell ref="CW110:CW121"/>
    <mergeCell ref="BL110:BL121"/>
    <mergeCell ref="CD110:CD121"/>
    <mergeCell ref="CG110:CG121"/>
    <mergeCell ref="AB122:AB133"/>
    <mergeCell ref="AD122:AD133"/>
    <mergeCell ref="D122:D133"/>
    <mergeCell ref="F122:F133"/>
    <mergeCell ref="H122:H133"/>
    <mergeCell ref="J122:J133"/>
    <mergeCell ref="L122:L133"/>
    <mergeCell ref="Z122:Z133"/>
    <mergeCell ref="X122:X133"/>
    <mergeCell ref="DG122:DG133"/>
    <mergeCell ref="CV123:CV127"/>
    <mergeCell ref="CV129:CV133"/>
    <mergeCell ref="AF122:AF133"/>
    <mergeCell ref="AH122:AH133"/>
    <mergeCell ref="AX122:AX133"/>
    <mergeCell ref="AZ122:AZ133"/>
    <mergeCell ref="BC122:BC133"/>
    <mergeCell ref="CX122:CX133"/>
    <mergeCell ref="CY122:CY133"/>
    <mergeCell ref="DA122:DA133"/>
    <mergeCell ref="CZ122:CZ133"/>
    <mergeCell ref="CO122:CO133"/>
    <mergeCell ref="CR122:CR133"/>
    <mergeCell ref="CW122:CW133"/>
    <mergeCell ref="BL122:BL133"/>
    <mergeCell ref="BV122:BV133"/>
    <mergeCell ref="CD122:CD133"/>
    <mergeCell ref="CG122:CG133"/>
    <mergeCell ref="CB122:CB133"/>
    <mergeCell ref="N134:N145"/>
    <mergeCell ref="T134:T145"/>
    <mergeCell ref="V134:V145"/>
    <mergeCell ref="AB134:AB145"/>
    <mergeCell ref="AD134:AD145"/>
    <mergeCell ref="D134:D145"/>
    <mergeCell ref="F134:F145"/>
    <mergeCell ref="H134:H145"/>
    <mergeCell ref="J134:J145"/>
    <mergeCell ref="L134:L145"/>
    <mergeCell ref="Z134:Z145"/>
    <mergeCell ref="X134:X145"/>
    <mergeCell ref="DG134:DG145"/>
    <mergeCell ref="CV135:CV139"/>
    <mergeCell ref="CV141:CV145"/>
    <mergeCell ref="AF134:AF145"/>
    <mergeCell ref="AH134:AH145"/>
    <mergeCell ref="AX134:AX145"/>
    <mergeCell ref="AZ134:AZ145"/>
    <mergeCell ref="BC134:BC145"/>
    <mergeCell ref="CX134:CX145"/>
    <mergeCell ref="CY134:CY145"/>
    <mergeCell ref="DA134:DA145"/>
    <mergeCell ref="CZ134:CZ145"/>
    <mergeCell ref="CO134:CO145"/>
    <mergeCell ref="CR134:CR145"/>
    <mergeCell ref="CW134:CW145"/>
    <mergeCell ref="BL134:BL145"/>
    <mergeCell ref="BV134:BV145"/>
    <mergeCell ref="CD134:CD145"/>
    <mergeCell ref="CG134:CG145"/>
    <mergeCell ref="BY134:BY145"/>
    <mergeCell ref="CB134:CB145"/>
    <mergeCell ref="N146:N157"/>
    <mergeCell ref="T146:T157"/>
    <mergeCell ref="V146:V157"/>
    <mergeCell ref="AB146:AB157"/>
    <mergeCell ref="AD146:AD157"/>
    <mergeCell ref="D146:D157"/>
    <mergeCell ref="F146:F157"/>
    <mergeCell ref="H146:H157"/>
    <mergeCell ref="J146:J157"/>
    <mergeCell ref="L146:L157"/>
    <mergeCell ref="Z146:Z157"/>
    <mergeCell ref="X146:X157"/>
    <mergeCell ref="DG146:DG157"/>
    <mergeCell ref="CV147:CV151"/>
    <mergeCell ref="CV153:CV157"/>
    <mergeCell ref="AF146:AF157"/>
    <mergeCell ref="AH146:AH157"/>
    <mergeCell ref="AX146:AX157"/>
    <mergeCell ref="AZ146:AZ157"/>
    <mergeCell ref="BC146:BC157"/>
    <mergeCell ref="CX146:CX157"/>
    <mergeCell ref="CY146:CY157"/>
    <mergeCell ref="DA146:DA157"/>
    <mergeCell ref="CZ146:CZ157"/>
    <mergeCell ref="CO146:CO157"/>
    <mergeCell ref="CR146:CR157"/>
    <mergeCell ref="CW146:CW157"/>
    <mergeCell ref="BL146:BL157"/>
    <mergeCell ref="BV146:BV157"/>
    <mergeCell ref="CD146:CD157"/>
    <mergeCell ref="CG146:CG157"/>
    <mergeCell ref="BY146:BY157"/>
    <mergeCell ref="CB146:CB157"/>
    <mergeCell ref="N158:N169"/>
    <mergeCell ref="T158:T169"/>
    <mergeCell ref="V158:V169"/>
    <mergeCell ref="AB158:AB169"/>
    <mergeCell ref="AD158:AD169"/>
    <mergeCell ref="D158:D169"/>
    <mergeCell ref="F158:F169"/>
    <mergeCell ref="H158:H169"/>
    <mergeCell ref="J158:J169"/>
    <mergeCell ref="L158:L169"/>
    <mergeCell ref="Z158:Z169"/>
    <mergeCell ref="X158:X169"/>
    <mergeCell ref="DG158:DG169"/>
    <mergeCell ref="CV159:CV163"/>
    <mergeCell ref="CV165:CV169"/>
    <mergeCell ref="AF158:AF169"/>
    <mergeCell ref="AH158:AH169"/>
    <mergeCell ref="AX158:AX169"/>
    <mergeCell ref="AZ158:AZ169"/>
    <mergeCell ref="BC158:BC169"/>
    <mergeCell ref="CX158:CX169"/>
    <mergeCell ref="CY158:CY169"/>
    <mergeCell ref="DA158:DA169"/>
    <mergeCell ref="CZ158:CZ169"/>
    <mergeCell ref="CO158:CO169"/>
    <mergeCell ref="CR158:CR169"/>
    <mergeCell ref="CW158:CW169"/>
    <mergeCell ref="BL158:BL169"/>
    <mergeCell ref="BV158:BV169"/>
    <mergeCell ref="CD158:CD169"/>
    <mergeCell ref="CG158:CG169"/>
    <mergeCell ref="BY158:BY169"/>
    <mergeCell ref="CB158:CB169"/>
    <mergeCell ref="N170:N181"/>
    <mergeCell ref="T170:T181"/>
    <mergeCell ref="V170:V181"/>
    <mergeCell ref="AB170:AB181"/>
    <mergeCell ref="AD170:AD181"/>
    <mergeCell ref="D170:D181"/>
    <mergeCell ref="F170:F181"/>
    <mergeCell ref="H170:H181"/>
    <mergeCell ref="J170:J181"/>
    <mergeCell ref="L170:L181"/>
    <mergeCell ref="Z170:Z181"/>
    <mergeCell ref="X170:X181"/>
    <mergeCell ref="DG170:DG181"/>
    <mergeCell ref="CV171:CV175"/>
    <mergeCell ref="CV177:CV181"/>
    <mergeCell ref="AF170:AF181"/>
    <mergeCell ref="AH170:AH181"/>
    <mergeCell ref="AX170:AX181"/>
    <mergeCell ref="AZ170:AZ181"/>
    <mergeCell ref="BC170:BC181"/>
    <mergeCell ref="CX170:CX181"/>
    <mergeCell ref="CY170:CY181"/>
    <mergeCell ref="DA170:DA181"/>
    <mergeCell ref="CZ170:CZ181"/>
    <mergeCell ref="CO170:CO181"/>
    <mergeCell ref="CR170:CR181"/>
    <mergeCell ref="CW170:CW181"/>
    <mergeCell ref="BL170:BL181"/>
    <mergeCell ref="BV170:BV181"/>
    <mergeCell ref="CD170:CD181"/>
    <mergeCell ref="CG170:CG181"/>
    <mergeCell ref="BY170:BY181"/>
    <mergeCell ref="CB170:CB181"/>
    <mergeCell ref="N182:N193"/>
    <mergeCell ref="T182:T193"/>
    <mergeCell ref="V182:V193"/>
    <mergeCell ref="AB182:AB193"/>
    <mergeCell ref="AD182:AD193"/>
    <mergeCell ref="D182:D193"/>
    <mergeCell ref="F182:F193"/>
    <mergeCell ref="H182:H193"/>
    <mergeCell ref="J182:J193"/>
    <mergeCell ref="L182:L193"/>
    <mergeCell ref="Z182:Z193"/>
    <mergeCell ref="X182:X193"/>
    <mergeCell ref="DG182:DG193"/>
    <mergeCell ref="CV183:CV187"/>
    <mergeCell ref="CV189:CV193"/>
    <mergeCell ref="AF182:AF193"/>
    <mergeCell ref="AH182:AH193"/>
    <mergeCell ref="AX182:AX193"/>
    <mergeCell ref="AZ182:AZ193"/>
    <mergeCell ref="BC182:BC193"/>
    <mergeCell ref="CX182:CX193"/>
    <mergeCell ref="CY182:CY193"/>
    <mergeCell ref="DA182:DA193"/>
    <mergeCell ref="CZ182:CZ193"/>
    <mergeCell ref="CO182:CO193"/>
    <mergeCell ref="CR182:CR193"/>
    <mergeCell ref="CW182:CW193"/>
    <mergeCell ref="BL182:BL193"/>
    <mergeCell ref="BV182:BV193"/>
    <mergeCell ref="CD182:CD193"/>
    <mergeCell ref="CG182:CG193"/>
    <mergeCell ref="BY182:BY193"/>
    <mergeCell ref="CB182:CB193"/>
    <mergeCell ref="N194:N205"/>
    <mergeCell ref="T194:T205"/>
    <mergeCell ref="V194:V205"/>
    <mergeCell ref="AB194:AB205"/>
    <mergeCell ref="AD194:AD205"/>
    <mergeCell ref="D194:D205"/>
    <mergeCell ref="F194:F205"/>
    <mergeCell ref="H194:H205"/>
    <mergeCell ref="J194:J205"/>
    <mergeCell ref="L194:L205"/>
    <mergeCell ref="Z194:Z205"/>
    <mergeCell ref="X194:X205"/>
    <mergeCell ref="BV194:BV205"/>
    <mergeCell ref="CD194:CD205"/>
    <mergeCell ref="CG194:CG205"/>
    <mergeCell ref="BV206:BV217"/>
    <mergeCell ref="CD206:CD217"/>
    <mergeCell ref="DG194:DG205"/>
    <mergeCell ref="CV195:CV199"/>
    <mergeCell ref="CV201:CV205"/>
    <mergeCell ref="AF194:AF205"/>
    <mergeCell ref="AH194:AH205"/>
    <mergeCell ref="AX194:AX205"/>
    <mergeCell ref="AZ194:AZ205"/>
    <mergeCell ref="BC194:BC205"/>
    <mergeCell ref="CX194:CX205"/>
    <mergeCell ref="CY194:CY205"/>
    <mergeCell ref="DA194:DA205"/>
    <mergeCell ref="CZ194:CZ205"/>
    <mergeCell ref="CO194:CO205"/>
    <mergeCell ref="CR194:CR205"/>
    <mergeCell ref="CW194:CW205"/>
    <mergeCell ref="BL194:BL205"/>
    <mergeCell ref="BY194:BY205"/>
    <mergeCell ref="BY206:BY217"/>
    <mergeCell ref="DG206:DG217"/>
    <mergeCell ref="DA206:DA217"/>
    <mergeCell ref="CZ206:CZ217"/>
    <mergeCell ref="CO206:CO217"/>
    <mergeCell ref="CR206:CR217"/>
    <mergeCell ref="CW206:CW217"/>
    <mergeCell ref="BL206:BL217"/>
    <mergeCell ref="V218:V229"/>
    <mergeCell ref="AB218:AB229"/>
    <mergeCell ref="AD218:AD229"/>
    <mergeCell ref="BY218:BY229"/>
    <mergeCell ref="CV207:CV211"/>
    <mergeCell ref="CV213:CV217"/>
    <mergeCell ref="AF206:AF217"/>
    <mergeCell ref="AH206:AH217"/>
    <mergeCell ref="AX206:AX217"/>
    <mergeCell ref="AZ206:AZ217"/>
    <mergeCell ref="BC206:BC217"/>
    <mergeCell ref="CX206:CX217"/>
    <mergeCell ref="CY206:CY217"/>
    <mergeCell ref="D218:D229"/>
    <mergeCell ref="F218:F229"/>
    <mergeCell ref="H218:H229"/>
    <mergeCell ref="J218:J229"/>
    <mergeCell ref="L218:L229"/>
    <mergeCell ref="Z218:Z229"/>
    <mergeCell ref="X218:X229"/>
    <mergeCell ref="R218:R229"/>
    <mergeCell ref="DG218:DG229"/>
    <mergeCell ref="CV219:CV223"/>
    <mergeCell ref="CV225:CV229"/>
    <mergeCell ref="AF218:AF229"/>
    <mergeCell ref="AH218:AH229"/>
    <mergeCell ref="AX218:AX229"/>
    <mergeCell ref="AZ218:AZ229"/>
    <mergeCell ref="BC218:BC229"/>
    <mergeCell ref="CX218:CX229"/>
    <mergeCell ref="CY218:CY229"/>
    <mergeCell ref="DA218:DA229"/>
    <mergeCell ref="CZ218:CZ229"/>
    <mergeCell ref="CO218:CO229"/>
    <mergeCell ref="CR218:CR229"/>
    <mergeCell ref="CW218:CW229"/>
    <mergeCell ref="BL218:BL229"/>
    <mergeCell ref="V230:V241"/>
    <mergeCell ref="AB230:AB241"/>
    <mergeCell ref="AD230:AD241"/>
    <mergeCell ref="D230:D241"/>
    <mergeCell ref="F230:F241"/>
    <mergeCell ref="H230:H241"/>
    <mergeCell ref="J230:J241"/>
    <mergeCell ref="L230:L241"/>
    <mergeCell ref="Z230:Z241"/>
    <mergeCell ref="X230:X241"/>
    <mergeCell ref="R230:R241"/>
    <mergeCell ref="D242:D253"/>
    <mergeCell ref="F242:F253"/>
    <mergeCell ref="H242:H253"/>
    <mergeCell ref="J242:J253"/>
    <mergeCell ref="L242:L253"/>
    <mergeCell ref="N242:N253"/>
    <mergeCell ref="T242:T253"/>
    <mergeCell ref="DG230:DG241"/>
    <mergeCell ref="CV231:CV235"/>
    <mergeCell ref="CV237:CV241"/>
    <mergeCell ref="AF230:AF241"/>
    <mergeCell ref="AH230:AH241"/>
    <mergeCell ref="AX230:AX241"/>
    <mergeCell ref="AZ230:AZ241"/>
    <mergeCell ref="BC230:BC241"/>
    <mergeCell ref="CX230:CX241"/>
    <mergeCell ref="CY230:CY241"/>
    <mergeCell ref="DA230:DA241"/>
    <mergeCell ref="CZ230:CZ241"/>
    <mergeCell ref="CO230:CO241"/>
    <mergeCell ref="CR230:CR241"/>
    <mergeCell ref="CW230:CW241"/>
    <mergeCell ref="N230:N241"/>
    <mergeCell ref="T230:T241"/>
    <mergeCell ref="V242:V253"/>
    <mergeCell ref="AB242:AB253"/>
    <mergeCell ref="AD242:AD253"/>
    <mergeCell ref="AF242:AF253"/>
    <mergeCell ref="AH242:AH253"/>
    <mergeCell ref="AX242:AX253"/>
    <mergeCell ref="AZ242:AZ253"/>
    <mergeCell ref="BC242:BC253"/>
    <mergeCell ref="CO242:CO253"/>
    <mergeCell ref="Z242:Z253"/>
    <mergeCell ref="X242:X253"/>
    <mergeCell ref="BL242:BL253"/>
    <mergeCell ref="CR242:CR253"/>
    <mergeCell ref="CW242:CW253"/>
    <mergeCell ref="CX242:CX253"/>
    <mergeCell ref="CY242:CY253"/>
    <mergeCell ref="CZ242:CZ253"/>
    <mergeCell ref="DA242:DA253"/>
    <mergeCell ref="DG242:DG253"/>
    <mergeCell ref="CV243:CV247"/>
    <mergeCell ref="CV249:CV253"/>
    <mergeCell ref="D254:D265"/>
    <mergeCell ref="F254:F265"/>
    <mergeCell ref="H254:H265"/>
    <mergeCell ref="J254:J265"/>
    <mergeCell ref="L254:L265"/>
    <mergeCell ref="N254:N265"/>
    <mergeCell ref="T254:T265"/>
    <mergeCell ref="V254:V265"/>
    <mergeCell ref="AB254:AB265"/>
    <mergeCell ref="Z254:Z265"/>
    <mergeCell ref="X254:X265"/>
    <mergeCell ref="DA254:DA265"/>
    <mergeCell ref="DG254:DG265"/>
    <mergeCell ref="CV255:CV259"/>
    <mergeCell ref="CV261:CV265"/>
    <mergeCell ref="D266:D277"/>
    <mergeCell ref="F266:F277"/>
    <mergeCell ref="H266:H277"/>
    <mergeCell ref="J266:J277"/>
    <mergeCell ref="L266:L277"/>
    <mergeCell ref="N266:N277"/>
    <mergeCell ref="T266:T277"/>
    <mergeCell ref="V266:V277"/>
    <mergeCell ref="AB266:AB277"/>
    <mergeCell ref="AD266:AD277"/>
    <mergeCell ref="AF266:AF277"/>
    <mergeCell ref="AH266:AH277"/>
    <mergeCell ref="AX266:AX277"/>
    <mergeCell ref="AZ266:AZ277"/>
    <mergeCell ref="BC266:BC277"/>
    <mergeCell ref="CO266:CO277"/>
    <mergeCell ref="CR266:CR277"/>
    <mergeCell ref="AD254:AD265"/>
    <mergeCell ref="AF254:AF265"/>
    <mergeCell ref="AH254:AH265"/>
    <mergeCell ref="AF278:AF289"/>
    <mergeCell ref="AH278:AH289"/>
    <mergeCell ref="AX278:AX289"/>
    <mergeCell ref="AZ278:AZ289"/>
    <mergeCell ref="BC278:BC289"/>
    <mergeCell ref="CO278:CO289"/>
    <mergeCell ref="CX254:CX265"/>
    <mergeCell ref="CY254:CY265"/>
    <mergeCell ref="CZ254:CZ265"/>
    <mergeCell ref="AX254:AX265"/>
    <mergeCell ref="AZ254:AZ265"/>
    <mergeCell ref="BC254:BC265"/>
    <mergeCell ref="CO254:CO265"/>
    <mergeCell ref="CR254:CR265"/>
    <mergeCell ref="CW254:CW265"/>
    <mergeCell ref="CR278:CR289"/>
    <mergeCell ref="CV279:CV283"/>
    <mergeCell ref="CV285:CV289"/>
    <mergeCell ref="CW266:CW277"/>
    <mergeCell ref="CX266:CX277"/>
    <mergeCell ref="CY266:CY277"/>
    <mergeCell ref="CZ266:CZ277"/>
    <mergeCell ref="BL254:BL265"/>
    <mergeCell ref="BL266:BL277"/>
    <mergeCell ref="D278:D289"/>
    <mergeCell ref="F278:F289"/>
    <mergeCell ref="H278:H289"/>
    <mergeCell ref="J278:J289"/>
    <mergeCell ref="L278:L289"/>
    <mergeCell ref="N278:N289"/>
    <mergeCell ref="T278:T289"/>
    <mergeCell ref="V278:V289"/>
    <mergeCell ref="AB278:AB289"/>
    <mergeCell ref="DA266:DA277"/>
    <mergeCell ref="DG266:DG277"/>
    <mergeCell ref="CV267:CV271"/>
    <mergeCell ref="CV273:CV277"/>
    <mergeCell ref="CW278:CW289"/>
    <mergeCell ref="CX278:CX289"/>
    <mergeCell ref="CY278:CY289"/>
    <mergeCell ref="CZ278:CZ289"/>
    <mergeCell ref="DA278:DA289"/>
    <mergeCell ref="D290:D301"/>
    <mergeCell ref="F290:F301"/>
    <mergeCell ref="H290:H301"/>
    <mergeCell ref="J290:J301"/>
    <mergeCell ref="L290:L301"/>
    <mergeCell ref="N290:N301"/>
    <mergeCell ref="T290:T301"/>
    <mergeCell ref="V290:V301"/>
    <mergeCell ref="AB290:AB301"/>
    <mergeCell ref="X266:X277"/>
    <mergeCell ref="X278:X289"/>
    <mergeCell ref="X290:X301"/>
    <mergeCell ref="CX290:CX301"/>
    <mergeCell ref="CY290:CY301"/>
    <mergeCell ref="CZ290:CZ301"/>
    <mergeCell ref="DA290:DA301"/>
    <mergeCell ref="DG290:DG301"/>
    <mergeCell ref="CV291:CV295"/>
    <mergeCell ref="CV297:CV301"/>
    <mergeCell ref="AF290:AF301"/>
    <mergeCell ref="AH290:AH301"/>
    <mergeCell ref="AX290:AX301"/>
    <mergeCell ref="AZ290:AZ301"/>
    <mergeCell ref="BC290:BC301"/>
    <mergeCell ref="CO290:CO301"/>
    <mergeCell ref="CR290:CR301"/>
    <mergeCell ref="CW290:CW301"/>
    <mergeCell ref="AD290:AD301"/>
    <mergeCell ref="AD278:AD289"/>
    <mergeCell ref="Z266:Z277"/>
    <mergeCell ref="Z278:Z289"/>
    <mergeCell ref="Z290:Z301"/>
    <mergeCell ref="DG278:DG289"/>
    <mergeCell ref="R110:R121"/>
    <mergeCell ref="R122:R133"/>
    <mergeCell ref="R134:R145"/>
    <mergeCell ref="R146:R157"/>
    <mergeCell ref="R158:R169"/>
    <mergeCell ref="R170:R181"/>
    <mergeCell ref="R182:R193"/>
    <mergeCell ref="R194:R205"/>
    <mergeCell ref="R206:R217"/>
    <mergeCell ref="R242:R253"/>
    <mergeCell ref="R254:R265"/>
    <mergeCell ref="R266:R277"/>
    <mergeCell ref="R278:R289"/>
    <mergeCell ref="R290:R301"/>
    <mergeCell ref="CD2:CD13"/>
    <mergeCell ref="CD14:CD25"/>
    <mergeCell ref="BV2:BV13"/>
    <mergeCell ref="BV14:BV25"/>
    <mergeCell ref="BV26:BV37"/>
    <mergeCell ref="CD26:CD37"/>
    <mergeCell ref="BV38:BV49"/>
    <mergeCell ref="CD38:CD49"/>
    <mergeCell ref="BV50:BV61"/>
    <mergeCell ref="CD50:CD61"/>
    <mergeCell ref="BV62:BV73"/>
    <mergeCell ref="CD62:CD73"/>
    <mergeCell ref="BV74:BV85"/>
    <mergeCell ref="CD74:CD85"/>
    <mergeCell ref="BV86:BV97"/>
    <mergeCell ref="CD86:CD97"/>
    <mergeCell ref="BV98:BV109"/>
    <mergeCell ref="CD98:CD109"/>
    <mergeCell ref="BV110:BV121"/>
    <mergeCell ref="BV290:BV301"/>
    <mergeCell ref="CD290:CD301"/>
    <mergeCell ref="CG290:CG301"/>
    <mergeCell ref="CC1:CD1"/>
    <mergeCell ref="CF1:CG1"/>
    <mergeCell ref="BV254:BV265"/>
    <mergeCell ref="CD254:CD265"/>
    <mergeCell ref="CG254:CG265"/>
    <mergeCell ref="BV266:BV277"/>
    <mergeCell ref="CD266:CD277"/>
    <mergeCell ref="CG266:CG277"/>
    <mergeCell ref="BV278:BV289"/>
    <mergeCell ref="CD278:CD289"/>
    <mergeCell ref="CG278:CG289"/>
    <mergeCell ref="CG206:CG217"/>
    <mergeCell ref="BV218:BV229"/>
    <mergeCell ref="CD218:CD229"/>
    <mergeCell ref="CG218:CG229"/>
    <mergeCell ref="BV230:BV241"/>
    <mergeCell ref="CD230:CD241"/>
    <mergeCell ref="CG230:CG241"/>
    <mergeCell ref="BV242:BV253"/>
    <mergeCell ref="CD242:CD253"/>
    <mergeCell ref="CG242:CG253"/>
    <mergeCell ref="CB14:CB25"/>
    <mergeCell ref="CB26:CB37"/>
    <mergeCell ref="CB38:CB49"/>
    <mergeCell ref="CB50:CB61"/>
    <mergeCell ref="CB62:CB73"/>
    <mergeCell ref="CB74:CB85"/>
    <mergeCell ref="CB86:CB97"/>
    <mergeCell ref="CB98:CB109"/>
    <mergeCell ref="CB110:CB121"/>
    <mergeCell ref="CB194:CB205"/>
    <mergeCell ref="CB206:CB217"/>
    <mergeCell ref="CB218:CB229"/>
    <mergeCell ref="CB230:CB241"/>
    <mergeCell ref="CB242:CB253"/>
    <mergeCell ref="CB254:CB265"/>
    <mergeCell ref="CB266:CB277"/>
    <mergeCell ref="CB278:CB289"/>
    <mergeCell ref="CB290:CB301"/>
  </mergeCells>
  <phoneticPr fontId="25" type="noConversion"/>
  <conditionalFormatting sqref="CS2:CT61 CS63:CT73 CS62 CS75:CT85 CS74 CS87:CT97 CS86 CS99:CT109 CS98 CS111:CT121 CS110 CS123:CT133 CS122 CS134 CS206 CS231:CT241 CS230 CS135:CT205 CS207:CT229 CS243:CT253 CS242 CS255:CT265 CS254 CS267:CT277 CS266 CS279:CT289 CS278 CS291:CT301 DB2:DB301 CS290 DD2:DD73 E2:E49 I2:I301 K2:K301 S2:S301 U2:U301 AA2:AA301 AC2:AC301">
    <cfRule type="expression" dxfId="88" priority="112">
      <formula>$B2=EOMONTH(TODAY(),-2)+1</formula>
    </cfRule>
  </conditionalFormatting>
  <conditionalFormatting sqref="AU2:AV49">
    <cfRule type="expression" dxfId="87" priority="111">
      <formula>$B2=EOMONTH(TODAY(),-2)+1</formula>
    </cfRule>
  </conditionalFormatting>
  <conditionalFormatting sqref="E50:E61">
    <cfRule type="expression" dxfId="86" priority="110">
      <formula>$B50=EOMONTH(TODAY(),-2)+1</formula>
    </cfRule>
  </conditionalFormatting>
  <conditionalFormatting sqref="AU50:AV61">
    <cfRule type="expression" dxfId="85" priority="109">
      <formula>$B50=EOMONTH(TODAY(),-2)+1</formula>
    </cfRule>
  </conditionalFormatting>
  <conditionalFormatting sqref="E62:E73">
    <cfRule type="expression" dxfId="84" priority="108">
      <formula>$B62=EOMONTH(TODAY(),-2)+1</formula>
    </cfRule>
  </conditionalFormatting>
  <conditionalFormatting sqref="AU62:AV73">
    <cfRule type="expression" dxfId="83" priority="107">
      <formula>$B62=EOMONTH(TODAY(),-2)+1</formula>
    </cfRule>
  </conditionalFormatting>
  <conditionalFormatting sqref="E74:E85">
    <cfRule type="expression" dxfId="82" priority="106">
      <formula>$B74=EOMONTH(TODAY(),-2)+1</formula>
    </cfRule>
  </conditionalFormatting>
  <conditionalFormatting sqref="AU74:AV85">
    <cfRule type="expression" dxfId="81" priority="105">
      <formula>$B74=EOMONTH(TODAY(),-2)+1</formula>
    </cfRule>
  </conditionalFormatting>
  <conditionalFormatting sqref="E86:E97">
    <cfRule type="expression" dxfId="80" priority="104">
      <formula>$B86=EOMONTH(TODAY(),-2)+1</formula>
    </cfRule>
  </conditionalFormatting>
  <conditionalFormatting sqref="AU86:AV97">
    <cfRule type="expression" dxfId="79" priority="103">
      <formula>$B86=EOMONTH(TODAY(),-2)+1</formula>
    </cfRule>
  </conditionalFormatting>
  <conditionalFormatting sqref="E98:E109">
    <cfRule type="expression" dxfId="78" priority="102">
      <formula>$B98=EOMONTH(TODAY(),-2)+1</formula>
    </cfRule>
  </conditionalFormatting>
  <conditionalFormatting sqref="AU98:AV109">
    <cfRule type="expression" dxfId="77" priority="101">
      <formula>$B98=EOMONTH(TODAY(),-2)+1</formula>
    </cfRule>
  </conditionalFormatting>
  <conditionalFormatting sqref="E110:E121">
    <cfRule type="expression" dxfId="76" priority="100">
      <formula>$B110=EOMONTH(TODAY(),-2)+1</formula>
    </cfRule>
  </conditionalFormatting>
  <conditionalFormatting sqref="AU110:AV121">
    <cfRule type="expression" dxfId="75" priority="99">
      <formula>$B110=EOMONTH(TODAY(),-2)+1</formula>
    </cfRule>
  </conditionalFormatting>
  <conditionalFormatting sqref="E122:E133">
    <cfRule type="expression" dxfId="74" priority="98">
      <formula>$B122=EOMONTH(TODAY(),-2)+1</formula>
    </cfRule>
  </conditionalFormatting>
  <conditionalFormatting sqref="AU122:AV133">
    <cfRule type="expression" dxfId="73" priority="97">
      <formula>$B122=EOMONTH(TODAY(),-2)+1</formula>
    </cfRule>
  </conditionalFormatting>
  <conditionalFormatting sqref="E134:E145">
    <cfRule type="expression" dxfId="72" priority="96">
      <formula>$B134=EOMONTH(TODAY(),-2)+1</formula>
    </cfRule>
  </conditionalFormatting>
  <conditionalFormatting sqref="AU134:AV145">
    <cfRule type="expression" dxfId="71" priority="95">
      <formula>$B134=EOMONTH(TODAY(),-2)+1</formula>
    </cfRule>
  </conditionalFormatting>
  <conditionalFormatting sqref="E146:E157">
    <cfRule type="expression" dxfId="70" priority="94">
      <formula>$B146=EOMONTH(TODAY(),-2)+1</formula>
    </cfRule>
  </conditionalFormatting>
  <conditionalFormatting sqref="AU146:AV157">
    <cfRule type="expression" dxfId="69" priority="93">
      <formula>$B146=EOMONTH(TODAY(),-2)+1</formula>
    </cfRule>
  </conditionalFormatting>
  <conditionalFormatting sqref="E158:E169">
    <cfRule type="expression" dxfId="68" priority="92">
      <formula>$B158=EOMONTH(TODAY(),-2)+1</formula>
    </cfRule>
  </conditionalFormatting>
  <conditionalFormatting sqref="AU158:AV169">
    <cfRule type="expression" dxfId="67" priority="91">
      <formula>$B158=EOMONTH(TODAY(),-2)+1</formula>
    </cfRule>
  </conditionalFormatting>
  <conditionalFormatting sqref="E170:E181">
    <cfRule type="expression" dxfId="66" priority="90">
      <formula>$B170=EOMONTH(TODAY(),-2)+1</formula>
    </cfRule>
  </conditionalFormatting>
  <conditionalFormatting sqref="AU170:AV181">
    <cfRule type="expression" dxfId="65" priority="89">
      <formula>$B170=EOMONTH(TODAY(),-2)+1</formula>
    </cfRule>
  </conditionalFormatting>
  <conditionalFormatting sqref="E182:E193">
    <cfRule type="expression" dxfId="64" priority="88">
      <formula>$B182=EOMONTH(TODAY(),-2)+1</formula>
    </cfRule>
  </conditionalFormatting>
  <conditionalFormatting sqref="AU182:AV193">
    <cfRule type="expression" dxfId="63" priority="87">
      <formula>$B182=EOMONTH(TODAY(),-2)+1</formula>
    </cfRule>
  </conditionalFormatting>
  <conditionalFormatting sqref="E194:E205">
    <cfRule type="expression" dxfId="62" priority="86">
      <formula>$B194=EOMONTH(TODAY(),-2)+1</formula>
    </cfRule>
  </conditionalFormatting>
  <conditionalFormatting sqref="AU194:AV205">
    <cfRule type="expression" dxfId="61" priority="85">
      <formula>$B194=EOMONTH(TODAY(),-2)+1</formula>
    </cfRule>
  </conditionalFormatting>
  <conditionalFormatting sqref="E206:E217">
    <cfRule type="expression" dxfId="60" priority="84">
      <formula>$B206=EOMONTH(TODAY(),-2)+1</formula>
    </cfRule>
  </conditionalFormatting>
  <conditionalFormatting sqref="AU206:AV217">
    <cfRule type="expression" dxfId="59" priority="83">
      <formula>$B206=EOMONTH(TODAY(),-2)+1</formula>
    </cfRule>
  </conditionalFormatting>
  <conditionalFormatting sqref="E218:E229">
    <cfRule type="expression" dxfId="58" priority="82">
      <formula>$B218=EOMONTH(TODAY(),-2)+1</formula>
    </cfRule>
  </conditionalFormatting>
  <conditionalFormatting sqref="AU218:AV229">
    <cfRule type="expression" dxfId="57" priority="81">
      <formula>$B218=EOMONTH(TODAY(),-2)+1</formula>
    </cfRule>
  </conditionalFormatting>
  <conditionalFormatting sqref="E230:E241">
    <cfRule type="expression" dxfId="56" priority="80">
      <formula>$B230=EOMONTH(TODAY(),-2)+1</formula>
    </cfRule>
  </conditionalFormatting>
  <conditionalFormatting sqref="AU230:AV241">
    <cfRule type="expression" dxfId="55" priority="79">
      <formula>$B230=EOMONTH(TODAY(),-2)+1</formula>
    </cfRule>
  </conditionalFormatting>
  <conditionalFormatting sqref="CT62">
    <cfRule type="expression" dxfId="54" priority="78">
      <formula>$B62=EOMONTH(TODAY(),-2)+1</formula>
    </cfRule>
  </conditionalFormatting>
  <conditionalFormatting sqref="CT74">
    <cfRule type="expression" dxfId="53" priority="77">
      <formula>$B74=EOMONTH(TODAY(),-2)+1</formula>
    </cfRule>
  </conditionalFormatting>
  <conditionalFormatting sqref="CT86">
    <cfRule type="expression" dxfId="52" priority="76">
      <formula>$B86=EOMONTH(TODAY(),-2)+1</formula>
    </cfRule>
  </conditionalFormatting>
  <conditionalFormatting sqref="CT98">
    <cfRule type="expression" dxfId="51" priority="75">
      <formula>$B98=EOMONTH(TODAY(),-2)+1</formula>
    </cfRule>
  </conditionalFormatting>
  <conditionalFormatting sqref="CT110">
    <cfRule type="expression" dxfId="50" priority="74">
      <formula>$B110=EOMONTH(TODAY(),-2)+1</formula>
    </cfRule>
  </conditionalFormatting>
  <conditionalFormatting sqref="CT122">
    <cfRule type="expression" dxfId="49" priority="73">
      <formula>$B122=EOMONTH(TODAY(),-2)+1</formula>
    </cfRule>
  </conditionalFormatting>
  <conditionalFormatting sqref="CT134">
    <cfRule type="expression" dxfId="48" priority="72">
      <formula>$B134=EOMONTH(TODAY(),-2)+1</formula>
    </cfRule>
  </conditionalFormatting>
  <conditionalFormatting sqref="CT206">
    <cfRule type="expression" dxfId="47" priority="71">
      <formula>$B206=EOMONTH(TODAY(),-2)+1</formula>
    </cfRule>
  </conditionalFormatting>
  <conditionalFormatting sqref="CT230">
    <cfRule type="expression" dxfId="46" priority="70">
      <formula>$B230=EOMONTH(TODAY(),-2)+1</formula>
    </cfRule>
  </conditionalFormatting>
  <conditionalFormatting sqref="E242:E253">
    <cfRule type="expression" dxfId="45" priority="69">
      <formula>$B242=EOMONTH(TODAY(),-2)+1</formula>
    </cfRule>
  </conditionalFormatting>
  <conditionalFormatting sqref="AU242:AV253">
    <cfRule type="expression" dxfId="44" priority="68">
      <formula>$B242=EOMONTH(TODAY(),-2)+1</formula>
    </cfRule>
  </conditionalFormatting>
  <conditionalFormatting sqref="CT242">
    <cfRule type="expression" dxfId="43" priority="67">
      <formula>$B242=EOMONTH(TODAY(),-2)+1</formula>
    </cfRule>
  </conditionalFormatting>
  <conditionalFormatting sqref="E254:E265">
    <cfRule type="expression" dxfId="42" priority="66">
      <formula>$B254=EOMONTH(TODAY(),-2)+1</formula>
    </cfRule>
  </conditionalFormatting>
  <conditionalFormatting sqref="AU254:AV265">
    <cfRule type="expression" dxfId="41" priority="65">
      <formula>$B254=EOMONTH(TODAY(),-2)+1</formula>
    </cfRule>
  </conditionalFormatting>
  <conditionalFormatting sqref="CT254">
    <cfRule type="expression" dxfId="40" priority="64">
      <formula>$B254=EOMONTH(TODAY(),-2)+1</formula>
    </cfRule>
  </conditionalFormatting>
  <conditionalFormatting sqref="E266:E277">
    <cfRule type="expression" dxfId="39" priority="63">
      <formula>$B266=EOMONTH(TODAY(),-2)+1</formula>
    </cfRule>
  </conditionalFormatting>
  <conditionalFormatting sqref="AU266:AV277">
    <cfRule type="expression" dxfId="38" priority="62">
      <formula>$B266=EOMONTH(TODAY(),-2)+1</formula>
    </cfRule>
  </conditionalFormatting>
  <conditionalFormatting sqref="CT266">
    <cfRule type="expression" dxfId="37" priority="61">
      <formula>$B266=EOMONTH(TODAY(),-2)+1</formula>
    </cfRule>
  </conditionalFormatting>
  <conditionalFormatting sqref="E278:E289">
    <cfRule type="expression" dxfId="36" priority="60">
      <formula>$B278=EOMONTH(TODAY(),-2)+1</formula>
    </cfRule>
  </conditionalFormatting>
  <conditionalFormatting sqref="AU278:AV289">
    <cfRule type="expression" dxfId="35" priority="59">
      <formula>$B278=EOMONTH(TODAY(),-2)+1</formula>
    </cfRule>
  </conditionalFormatting>
  <conditionalFormatting sqref="CT278">
    <cfRule type="expression" dxfId="34" priority="58">
      <formula>$B278=EOMONTH(TODAY(),-2)+1</formula>
    </cfRule>
  </conditionalFormatting>
  <conditionalFormatting sqref="E290:E301">
    <cfRule type="expression" dxfId="33" priority="57">
      <formula>$B290=EOMONTH(TODAY(),-2)+1</formula>
    </cfRule>
  </conditionalFormatting>
  <conditionalFormatting sqref="AU290:AV301">
    <cfRule type="expression" dxfId="32" priority="56">
      <formula>$B290=EOMONTH(TODAY(),-2)+1</formula>
    </cfRule>
  </conditionalFormatting>
  <conditionalFormatting sqref="CT290">
    <cfRule type="expression" dxfId="31" priority="55">
      <formula>$B290=EOMONTH(TODAY(),-2)+1</formula>
    </cfRule>
  </conditionalFormatting>
  <conditionalFormatting sqref="W2:W49">
    <cfRule type="expression" dxfId="30" priority="31">
      <formula>$B2=EOMONTH(TODAY(),-2)+1</formula>
    </cfRule>
  </conditionalFormatting>
  <conditionalFormatting sqref="W50:W61">
    <cfRule type="expression" dxfId="29" priority="30">
      <formula>$B50=EOMONTH(TODAY(),-2)+1</formula>
    </cfRule>
  </conditionalFormatting>
  <conditionalFormatting sqref="W62:W73">
    <cfRule type="expression" dxfId="28" priority="29">
      <formula>$B62=EOMONTH(TODAY(),-2)+1</formula>
    </cfRule>
  </conditionalFormatting>
  <conditionalFormatting sqref="W74:W85">
    <cfRule type="expression" dxfId="27" priority="28">
      <formula>$B74=EOMONTH(TODAY(),-2)+1</formula>
    </cfRule>
  </conditionalFormatting>
  <conditionalFormatting sqref="W86:W97">
    <cfRule type="expression" dxfId="26" priority="27">
      <formula>$B86=EOMONTH(TODAY(),-2)+1</formula>
    </cfRule>
  </conditionalFormatting>
  <conditionalFormatting sqref="W98:W109">
    <cfRule type="expression" dxfId="25" priority="26">
      <formula>$B98=EOMONTH(TODAY(),-2)+1</formula>
    </cfRule>
  </conditionalFormatting>
  <conditionalFormatting sqref="W110:W121">
    <cfRule type="expression" dxfId="24" priority="25">
      <formula>$B110=EOMONTH(TODAY(),-2)+1</formula>
    </cfRule>
  </conditionalFormatting>
  <conditionalFormatting sqref="W122:W133">
    <cfRule type="expression" dxfId="23" priority="24">
      <formula>$B122=EOMONTH(TODAY(),-2)+1</formula>
    </cfRule>
  </conditionalFormatting>
  <conditionalFormatting sqref="W134:W145">
    <cfRule type="expression" dxfId="22" priority="23">
      <formula>$B134=EOMONTH(TODAY(),-2)+1</formula>
    </cfRule>
  </conditionalFormatting>
  <conditionalFormatting sqref="W146:W157">
    <cfRule type="expression" dxfId="21" priority="22">
      <formula>$B146=EOMONTH(TODAY(),-2)+1</formula>
    </cfRule>
  </conditionalFormatting>
  <conditionalFormatting sqref="W158:W169">
    <cfRule type="expression" dxfId="20" priority="21">
      <formula>$B158=EOMONTH(TODAY(),-2)+1</formula>
    </cfRule>
  </conditionalFormatting>
  <conditionalFormatting sqref="W170:W181">
    <cfRule type="expression" dxfId="19" priority="20">
      <formula>$B170=EOMONTH(TODAY(),-2)+1</formula>
    </cfRule>
  </conditionalFormatting>
  <conditionalFormatting sqref="W182:W193">
    <cfRule type="expression" dxfId="18" priority="19">
      <formula>$B182=EOMONTH(TODAY(),-2)+1</formula>
    </cfRule>
  </conditionalFormatting>
  <conditionalFormatting sqref="W194:W205">
    <cfRule type="expression" dxfId="17" priority="18">
      <formula>$B194=EOMONTH(TODAY(),-2)+1</formula>
    </cfRule>
  </conditionalFormatting>
  <conditionalFormatting sqref="W206:W217">
    <cfRule type="expression" dxfId="16" priority="17">
      <formula>$B206=EOMONTH(TODAY(),-2)+1</formula>
    </cfRule>
  </conditionalFormatting>
  <conditionalFormatting sqref="W218:W229">
    <cfRule type="expression" dxfId="15" priority="16">
      <formula>$B218=EOMONTH(TODAY(),-2)+1</formula>
    </cfRule>
  </conditionalFormatting>
  <conditionalFormatting sqref="W230:W241">
    <cfRule type="expression" dxfId="14" priority="15">
      <formula>$B230=EOMONTH(TODAY(),-2)+1</formula>
    </cfRule>
  </conditionalFormatting>
  <conditionalFormatting sqref="W242:W253">
    <cfRule type="expression" dxfId="13" priority="14">
      <formula>$B242=EOMONTH(TODAY(),-2)+1</formula>
    </cfRule>
  </conditionalFormatting>
  <conditionalFormatting sqref="W254:W265">
    <cfRule type="expression" dxfId="12" priority="13">
      <formula>$B254=EOMONTH(TODAY(),-2)+1</formula>
    </cfRule>
  </conditionalFormatting>
  <conditionalFormatting sqref="W266:W277">
    <cfRule type="expression" dxfId="11" priority="12">
      <formula>$B266=EOMONTH(TODAY(),-2)+1</formula>
    </cfRule>
  </conditionalFormatting>
  <conditionalFormatting sqref="W278:W289">
    <cfRule type="expression" dxfId="10" priority="11">
      <formula>$B278=EOMONTH(TODAY(),-2)+1</formula>
    </cfRule>
  </conditionalFormatting>
  <conditionalFormatting sqref="W290:W301">
    <cfRule type="expression" dxfId="9" priority="10">
      <formula>$B290=EOMONTH(TODAY(),-2)+1</formula>
    </cfRule>
  </conditionalFormatting>
  <conditionalFormatting sqref="O22:O23">
    <cfRule type="expression" dxfId="8" priority="9">
      <formula>$B22=EOMONTH(TODAY(),-2)+1</formula>
    </cfRule>
  </conditionalFormatting>
  <conditionalFormatting sqref="O10:O21">
    <cfRule type="expression" dxfId="7" priority="8">
      <formula>$B10=EOMONTH(TODAY(),-2)+1</formula>
    </cfRule>
  </conditionalFormatting>
  <conditionalFormatting sqref="DD74:DD109">
    <cfRule type="expression" dxfId="6" priority="7">
      <formula>$B74=EOMONTH(TODAY(),-2)+1</formula>
    </cfRule>
  </conditionalFormatting>
  <conditionalFormatting sqref="DD110:DD145">
    <cfRule type="expression" dxfId="5" priority="6">
      <formula>$B110=EOMONTH(TODAY(),-2)+1</formula>
    </cfRule>
  </conditionalFormatting>
  <conditionalFormatting sqref="DD146:DD181">
    <cfRule type="expression" dxfId="4" priority="5">
      <formula>$B146=EOMONTH(TODAY(),-2)+1</formula>
    </cfRule>
  </conditionalFormatting>
  <conditionalFormatting sqref="DD182:DD217">
    <cfRule type="expression" dxfId="3" priority="4">
      <formula>$B182=EOMONTH(TODAY(),-2)+1</formula>
    </cfRule>
  </conditionalFormatting>
  <conditionalFormatting sqref="DD218:DD253">
    <cfRule type="expression" dxfId="2" priority="3">
      <formula>$B218=EOMONTH(TODAY(),-2)+1</formula>
    </cfRule>
  </conditionalFormatting>
  <conditionalFormatting sqref="DD254:DD265">
    <cfRule type="expression" dxfId="1" priority="2">
      <formula>$B254=EOMONTH(TODAY(),-2)+1</formula>
    </cfRule>
  </conditionalFormatting>
  <conditionalFormatting sqref="DD266:DD301">
    <cfRule type="expression" dxfId="0" priority="1">
      <formula>$B266=EOMONTH(TODAY(),-2)+1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C2E9-5464-471B-98E7-1FDF3A215CE6}">
  <sheetPr>
    <tabColor rgb="FF00B050"/>
  </sheetPr>
  <dimension ref="A1"/>
  <sheetViews>
    <sheetView topLeftCell="S1" zoomScaleNormal="100"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F8F6-9CB9-2B47-A56D-27F9DF5DF9D2}">
  <sheetPr>
    <tabColor rgb="FFFF0000"/>
  </sheetPr>
  <dimension ref="A1:BJ53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9.1640625" defaultRowHeight="14" x14ac:dyDescent="0.15"/>
  <cols>
    <col min="1" max="1" width="16.6640625" style="55" bestFit="1" customWidth="1"/>
    <col min="2" max="2" width="16.6640625" style="55" customWidth="1"/>
    <col min="3" max="3" width="14.33203125" style="44" customWidth="1"/>
    <col min="4" max="5" width="14.33203125" style="44" bestFit="1" customWidth="1"/>
    <col min="6" max="7" width="14.33203125" style="43" customWidth="1"/>
    <col min="8" max="8" width="13.6640625" style="54" bestFit="1" customWidth="1"/>
    <col min="9" max="9" width="13.6640625" style="43" bestFit="1" customWidth="1"/>
    <col min="10" max="11" width="13.6640625" style="43" customWidth="1"/>
    <col min="12" max="12" width="14.83203125" style="54" bestFit="1" customWidth="1"/>
    <col min="13" max="13" width="14.83203125" style="43" bestFit="1" customWidth="1"/>
    <col min="14" max="14" width="23.33203125" style="44" bestFit="1" customWidth="1"/>
    <col min="15" max="15" width="19.5" style="44" bestFit="1" customWidth="1"/>
    <col min="16" max="16" width="21.1640625" style="48" bestFit="1" customWidth="1"/>
    <col min="17" max="17" width="28.1640625" style="48" bestFit="1" customWidth="1"/>
    <col min="18" max="18" width="29.5" style="48" bestFit="1" customWidth="1"/>
    <col min="19" max="19" width="25.33203125" style="47" bestFit="1" customWidth="1"/>
    <col min="20" max="20" width="29" style="47" bestFit="1" customWidth="1"/>
    <col min="21" max="21" width="17.5" style="47" customWidth="1"/>
    <col min="22" max="22" width="14.5" style="47" customWidth="1"/>
    <col min="23" max="23" width="13.83203125" style="48" customWidth="1"/>
    <col min="24" max="24" width="11.6640625" style="48" customWidth="1"/>
    <col min="25" max="26" width="14.83203125" style="45" customWidth="1"/>
    <col min="27" max="27" width="10.33203125" style="48" customWidth="1"/>
    <col min="28" max="28" width="12.83203125" style="48" bestFit="1" customWidth="1"/>
    <col min="29" max="29" width="13.83203125" style="48" bestFit="1" customWidth="1"/>
    <col min="30" max="30" width="15.1640625" style="45" bestFit="1" customWidth="1"/>
    <col min="31" max="32" width="15.1640625" style="47" bestFit="1" customWidth="1"/>
    <col min="33" max="33" width="15.1640625" style="48" bestFit="1" customWidth="1"/>
    <col min="34" max="34" width="15.1640625" style="47" bestFit="1" customWidth="1"/>
    <col min="35" max="35" width="15.1640625" style="48" bestFit="1" customWidth="1"/>
    <col min="36" max="36" width="14.5" style="47" bestFit="1" customWidth="1"/>
    <col min="37" max="37" width="9.83203125" style="47" bestFit="1" customWidth="1"/>
    <col min="38" max="38" width="18.5" style="48" bestFit="1" customWidth="1"/>
    <col min="39" max="39" width="10.33203125" style="47" bestFit="1" customWidth="1"/>
    <col min="40" max="40" width="9.83203125" style="45" bestFit="1" customWidth="1"/>
    <col min="41" max="41" width="10.83203125" style="47" bestFit="1" customWidth="1"/>
    <col min="42" max="42" width="10.33203125" style="47" bestFit="1" customWidth="1"/>
    <col min="43" max="43" width="8.6640625" style="48" bestFit="1" customWidth="1"/>
    <col min="44" max="45" width="17.6640625" style="47" bestFit="1" customWidth="1"/>
    <col min="46" max="48" width="14.83203125" style="47" bestFit="1" customWidth="1"/>
    <col min="49" max="49" width="15.83203125" style="48" bestFit="1" customWidth="1"/>
    <col min="50" max="51" width="14.83203125" style="47" bestFit="1" customWidth="1"/>
    <col min="52" max="52" width="14.83203125" style="48" bestFit="1" customWidth="1"/>
    <col min="53" max="53" width="11.5" style="48" bestFit="1" customWidth="1"/>
    <col min="54" max="55" width="17.1640625" style="44" bestFit="1" customWidth="1"/>
    <col min="56" max="56" width="13.5" style="45" bestFit="1" customWidth="1"/>
    <col min="57" max="57" width="9.83203125" style="45" bestFit="1" customWidth="1"/>
    <col min="58" max="58" width="9.1640625" style="45" bestFit="1" customWidth="1"/>
    <col min="59" max="59" width="15" style="45" bestFit="1" customWidth="1"/>
    <col min="60" max="60" width="16.33203125" style="45" bestFit="1" customWidth="1"/>
    <col min="61" max="61" width="17.6640625" style="45" bestFit="1" customWidth="1"/>
    <col min="62" max="69" width="17.6640625" style="47" bestFit="1" customWidth="1"/>
    <col min="70" max="16384" width="9.1640625" style="47"/>
  </cols>
  <sheetData>
    <row r="1" spans="1:62" ht="15" x14ac:dyDescent="0.15">
      <c r="A1" s="42" t="s">
        <v>8</v>
      </c>
      <c r="B1" s="133" t="s">
        <v>94</v>
      </c>
      <c r="C1" s="319" t="s">
        <v>69</v>
      </c>
      <c r="D1" s="319" t="s">
        <v>9</v>
      </c>
      <c r="E1" s="319" t="s">
        <v>10</v>
      </c>
      <c r="F1" s="418" t="s">
        <v>103</v>
      </c>
      <c r="G1" s="419"/>
      <c r="H1" s="418" t="s">
        <v>95</v>
      </c>
      <c r="I1" s="419"/>
      <c r="J1" s="418" t="s">
        <v>104</v>
      </c>
      <c r="K1" s="419"/>
      <c r="L1" s="418" t="s">
        <v>96</v>
      </c>
      <c r="M1" s="419"/>
      <c r="N1" s="162" t="s">
        <v>97</v>
      </c>
      <c r="O1" s="162" t="s">
        <v>126</v>
      </c>
      <c r="P1" s="162" t="s">
        <v>127</v>
      </c>
      <c r="Q1" s="206" t="s">
        <v>133</v>
      </c>
      <c r="R1" s="162" t="s">
        <v>128</v>
      </c>
      <c r="S1" s="162" t="s">
        <v>187</v>
      </c>
      <c r="T1" s="162" t="s">
        <v>186</v>
      </c>
      <c r="Y1" s="47"/>
      <c r="AA1" s="45"/>
      <c r="AD1" s="48"/>
      <c r="AE1" s="45"/>
      <c r="AG1" s="47"/>
      <c r="AH1" s="48"/>
      <c r="AI1" s="47"/>
      <c r="AJ1" s="48"/>
      <c r="AL1" s="47"/>
      <c r="AM1" s="48"/>
      <c r="AQ1" s="45"/>
      <c r="AR1" s="48"/>
      <c r="AW1" s="47"/>
      <c r="AX1" s="48"/>
      <c r="AZ1" s="47"/>
      <c r="BB1" s="48"/>
      <c r="BD1" s="44"/>
      <c r="BJ1" s="45"/>
    </row>
    <row r="2" spans="1:62" x14ac:dyDescent="0.15">
      <c r="A2" s="49" t="s">
        <v>11</v>
      </c>
      <c r="B2" s="135">
        <f t="shared" ref="B2:B11" si="0">F2+J2</f>
        <v>51948.6</v>
      </c>
      <c r="C2" s="50">
        <v>3387.5007000000001</v>
      </c>
      <c r="D2" s="50">
        <v>2472.8755110000002</v>
      </c>
      <c r="E2" s="50">
        <v>905.29214376643802</v>
      </c>
      <c r="F2" s="135">
        <f>15279*('Vergleich Holz Strom'!$B$8-0.6)</f>
        <v>51948.6</v>
      </c>
      <c r="G2" s="51">
        <f t="shared" ref="G2:I11" si="1">1/(F2+J2)*F2</f>
        <v>1</v>
      </c>
      <c r="H2" s="48">
        <v>3387.5007000000001</v>
      </c>
      <c r="I2" s="51">
        <f t="shared" si="1"/>
        <v>1</v>
      </c>
      <c r="J2" s="135"/>
      <c r="K2" s="51">
        <f t="shared" ref="K2:M11" si="2">1/(F2+J2)*J2</f>
        <v>0</v>
      </c>
      <c r="L2" s="48">
        <v>0</v>
      </c>
      <c r="M2" s="51">
        <f t="shared" si="2"/>
        <v>0</v>
      </c>
      <c r="N2" s="44">
        <f>((F2/('Vergleich Holz Strom'!$B$8-0.6))*0.2675)+(J2/70%/('Vergleich Holz Strom'!$B$2/'Vergleich Holz Strom'!$B$3))</f>
        <v>4087.1325000000002</v>
      </c>
      <c r="P2" s="44"/>
      <c r="Q2" s="44"/>
      <c r="R2" s="44"/>
      <c r="S2" s="45"/>
      <c r="V2" s="46"/>
      <c r="W2" s="41"/>
      <c r="Y2" s="47"/>
      <c r="AA2" s="45"/>
      <c r="AC2" s="46" t="s">
        <v>40</v>
      </c>
      <c r="AD2" s="41">
        <v>0.73275514193504421</v>
      </c>
      <c r="AE2" s="45"/>
      <c r="AG2" s="47"/>
      <c r="AH2" s="48"/>
      <c r="AI2" s="47"/>
      <c r="AJ2" s="48"/>
      <c r="AL2" s="47"/>
      <c r="AM2" s="48"/>
      <c r="AQ2" s="45"/>
      <c r="AR2" s="48"/>
      <c r="AW2" s="47"/>
      <c r="AX2" s="48"/>
      <c r="AZ2" s="47"/>
      <c r="BB2" s="48"/>
      <c r="BD2" s="44"/>
      <c r="BJ2" s="45"/>
    </row>
    <row r="3" spans="1:62" x14ac:dyDescent="0.15">
      <c r="A3" s="49" t="s">
        <v>12</v>
      </c>
      <c r="B3" s="135">
        <f t="shared" si="0"/>
        <v>43446.9</v>
      </c>
      <c r="C3" s="50">
        <v>2830.5542500000001</v>
      </c>
      <c r="D3" s="50">
        <v>2074.1031812135925</v>
      </c>
      <c r="E3" s="50">
        <v>756.45106878640706</v>
      </c>
      <c r="F3" s="135">
        <f>12778.5*('Vergleich Holz Strom'!$B$8-0.6)</f>
        <v>43446.9</v>
      </c>
      <c r="G3" s="51">
        <f t="shared" si="1"/>
        <v>1</v>
      </c>
      <c r="H3" s="48">
        <v>2830.5542500000001</v>
      </c>
      <c r="I3" s="51">
        <f t="shared" si="1"/>
        <v>1</v>
      </c>
      <c r="J3" s="135"/>
      <c r="K3" s="51">
        <f t="shared" si="2"/>
        <v>0</v>
      </c>
      <c r="L3" s="48">
        <v>0</v>
      </c>
      <c r="M3" s="51">
        <f t="shared" si="2"/>
        <v>0</v>
      </c>
      <c r="N3" s="44">
        <f>((F3/('Vergleich Holz Strom'!$B$8-0.6))*0.2675)+(J3/70%/('Vergleich Holz Strom'!$B$2/'Vergleich Holz Strom'!$B$3))</f>
        <v>3418.2487500000002</v>
      </c>
      <c r="P3" s="44"/>
      <c r="Q3" s="44"/>
      <c r="R3" s="44"/>
      <c r="S3" s="45"/>
      <c r="V3" s="46"/>
      <c r="W3" s="41"/>
      <c r="Y3" s="47"/>
      <c r="AA3" s="45"/>
      <c r="AC3" s="46" t="s">
        <v>41</v>
      </c>
      <c r="AD3" s="41">
        <v>0.26724485806495568</v>
      </c>
      <c r="AE3" s="45"/>
      <c r="AG3" s="47"/>
      <c r="AH3" s="48"/>
      <c r="AI3" s="47"/>
      <c r="AJ3" s="48"/>
      <c r="AL3" s="47"/>
      <c r="AM3" s="48"/>
      <c r="AQ3" s="45"/>
      <c r="AR3" s="48"/>
      <c r="AW3" s="47"/>
      <c r="AX3" s="48"/>
      <c r="AZ3" s="47"/>
      <c r="BB3" s="48"/>
      <c r="BD3" s="44"/>
      <c r="BJ3" s="45"/>
    </row>
    <row r="4" spans="1:62" x14ac:dyDescent="0.15">
      <c r="A4" s="49" t="s">
        <v>13</v>
      </c>
      <c r="B4" s="135">
        <f t="shared" si="0"/>
        <v>43593.42</v>
      </c>
      <c r="C4" s="50">
        <v>2840.6119700000004</v>
      </c>
      <c r="D4" s="50">
        <v>2081.4730272597358</v>
      </c>
      <c r="E4" s="50">
        <v>759.13894274026427</v>
      </c>
      <c r="F4" s="135">
        <f>11936.3*('Vergleich Holz Strom'!$B$8-0.6)</f>
        <v>40583.42</v>
      </c>
      <c r="G4" s="51">
        <f t="shared" si="1"/>
        <v>0.93095288233866491</v>
      </c>
      <c r="H4" s="48">
        <v>2590.6119700000004</v>
      </c>
      <c r="I4" s="51">
        <f t="shared" si="1"/>
        <v>0.93503240368949969</v>
      </c>
      <c r="J4" s="135">
        <f>L4/90*'Vergleich Holz Strom'!$B$2*70%</f>
        <v>3010</v>
      </c>
      <c r="K4" s="51">
        <f t="shared" si="2"/>
        <v>6.9047117661335131E-2</v>
      </c>
      <c r="L4" s="48">
        <v>180</v>
      </c>
      <c r="M4" s="51">
        <f t="shared" si="2"/>
        <v>6.4967596310500308E-2</v>
      </c>
      <c r="N4" s="44">
        <f>((F4/('Vergleich Holz Strom'!$B$8-0.6))*0.2675)+(J4/70%/('Vergleich Holz Strom'!$B$2/'Vergleich Holz Strom'!$B$3))</f>
        <v>3388.9602500000001</v>
      </c>
      <c r="O4" s="44">
        <f>L4/J4*(J4+F4)</f>
        <v>2606.9154817275748</v>
      </c>
      <c r="P4" s="44">
        <f>(F4+(J4))/('Vergleich Holz Strom'!$B$8-0.6)*0.2575</f>
        <v>3301.5604852941178</v>
      </c>
      <c r="Q4" s="44">
        <f>(F4+(J4))/('Vergleich Holz Strom'!$B$8-0.6)*0.1147</f>
        <v>1470.6368452941176</v>
      </c>
      <c r="R4" s="44">
        <f>(F4+(J4))/('Vergleich Holz Strom'!$B$8-0.6)*0.1889+12*9</f>
        <v>2529.9991288235296</v>
      </c>
      <c r="S4" s="45"/>
      <c r="Y4" s="47"/>
      <c r="AA4" s="45"/>
      <c r="AD4" s="48"/>
      <c r="AE4" s="45"/>
      <c r="AG4" s="47"/>
      <c r="AH4" s="48"/>
      <c r="AI4" s="47"/>
      <c r="AJ4" s="48"/>
      <c r="AL4" s="47"/>
      <c r="AM4" s="48"/>
      <c r="AQ4" s="45"/>
      <c r="AR4" s="48"/>
      <c r="AW4" s="47"/>
      <c r="AX4" s="48"/>
      <c r="AZ4" s="47"/>
      <c r="BB4" s="48"/>
      <c r="BD4" s="44"/>
      <c r="BJ4" s="45"/>
    </row>
    <row r="5" spans="1:62" x14ac:dyDescent="0.15">
      <c r="A5" s="49" t="s">
        <v>14</v>
      </c>
      <c r="B5" s="135">
        <f t="shared" si="0"/>
        <v>43618.979999999996</v>
      </c>
      <c r="C5" s="50">
        <v>2834.3844699999995</v>
      </c>
      <c r="D5" s="50">
        <v>2076.9097946133347</v>
      </c>
      <c r="E5" s="50">
        <v>757.47467538666456</v>
      </c>
      <c r="F5" s="135">
        <f>7074.7*('Vergleich Holz Strom'!$B$8-0.6)</f>
        <v>24053.98</v>
      </c>
      <c r="G5" s="51">
        <f t="shared" si="1"/>
        <v>0.55145672824077963</v>
      </c>
      <c r="H5" s="48">
        <v>1484.3844699999995</v>
      </c>
      <c r="I5" s="51">
        <f t="shared" si="1"/>
        <v>0.55712097361083923</v>
      </c>
      <c r="J5" s="135">
        <f>(L5-10)/90*'Vergleich Holz Strom'!$B$2*70%</f>
        <v>19565</v>
      </c>
      <c r="K5" s="51">
        <f t="shared" si="2"/>
        <v>0.44854327175922043</v>
      </c>
      <c r="L5" s="48">
        <v>1180</v>
      </c>
      <c r="M5" s="51">
        <f t="shared" si="2"/>
        <v>0.44287902638916077</v>
      </c>
      <c r="N5" s="44">
        <f>((F5/('Vergleich Holz Strom'!$B$8-0.6))*0.2675)+(J5/70%/('Vergleich Holz Strom'!$B$2/'Vergleich Holz Strom'!$B$3))</f>
        <v>3166.48225</v>
      </c>
      <c r="O5" s="44">
        <f>L5/J5*(J5+F5)</f>
        <v>2630.7383797597749</v>
      </c>
      <c r="P5" s="44">
        <f>(F5+(J5))/('Vergleich Holz Strom'!$B$8-0.6)*0.2575</f>
        <v>3303.4962794117646</v>
      </c>
      <c r="Q5" s="44">
        <f>(F5+(J5))/('Vergleich Holz Strom'!$B$8-0.6)*0.1147</f>
        <v>1471.4991194117647</v>
      </c>
      <c r="R5" s="44">
        <f>(F5+(J5))/('Vergleich Holz Strom'!$B$8-0.6)*0.1889+12*9</f>
        <v>2531.419212352941</v>
      </c>
      <c r="S5" s="45"/>
      <c r="Y5" s="47"/>
      <c r="AA5" s="45"/>
      <c r="AD5" s="48"/>
      <c r="AE5" s="45"/>
      <c r="AG5" s="47"/>
      <c r="AH5" s="48"/>
      <c r="AI5" s="47"/>
      <c r="AJ5" s="48"/>
      <c r="AL5" s="47"/>
      <c r="AM5" s="48"/>
      <c r="AQ5" s="45"/>
      <c r="AR5" s="48"/>
      <c r="AW5" s="47"/>
      <c r="AX5" s="48"/>
      <c r="AZ5" s="47"/>
      <c r="BB5" s="48"/>
      <c r="BD5" s="44"/>
      <c r="BJ5" s="45"/>
    </row>
    <row r="6" spans="1:62" x14ac:dyDescent="0.15">
      <c r="A6" s="49" t="s">
        <v>15</v>
      </c>
      <c r="B6" s="135">
        <f t="shared" si="0"/>
        <v>44314.28</v>
      </c>
      <c r="C6" s="50">
        <v>2563.0408800000005</v>
      </c>
      <c r="D6" s="50">
        <v>1878.081383809721</v>
      </c>
      <c r="E6" s="50">
        <v>684.9594961902792</v>
      </c>
      <c r="F6" s="135">
        <f>7279.2*('Vergleich Holz Strom'!$B$8-0.6)</f>
        <v>24749.279999999999</v>
      </c>
      <c r="G6" s="51">
        <f t="shared" si="1"/>
        <v>0.55849446273300618</v>
      </c>
      <c r="H6" s="48">
        <v>1483.0408800000002</v>
      </c>
      <c r="I6" s="51">
        <f t="shared" si="1"/>
        <v>0.55689752686034621</v>
      </c>
      <c r="J6" s="135">
        <f>(L6-10)/90*'Vergleich Holz Strom'!$B$2*70%</f>
        <v>19565</v>
      </c>
      <c r="K6" s="51">
        <f t="shared" si="2"/>
        <v>0.44150553726699387</v>
      </c>
      <c r="L6" s="48">
        <v>1180</v>
      </c>
      <c r="M6" s="51">
        <f t="shared" si="2"/>
        <v>0.44310247313965373</v>
      </c>
      <c r="N6" s="44">
        <f>((F6/('Vergleich Holz Strom'!$B$8-0.6))*0.2675)+(J6/70%/('Vergleich Holz Strom'!$B$2/'Vergleich Holz Strom'!$B$3))</f>
        <v>3221.1860000000001</v>
      </c>
      <c r="O6" s="44">
        <f>L6/J6*(J6+F6)</f>
        <v>2672.6731612573471</v>
      </c>
      <c r="P6" s="44">
        <f>(F6+(J6))/('Vergleich Holz Strom'!$B$8-0.6)*0.2575</f>
        <v>3356.1550294117646</v>
      </c>
      <c r="Q6" s="44">
        <f>(F6+(J6))/('Vergleich Holz Strom'!$B$8-0.6)*0.1147</f>
        <v>1494.9552694117647</v>
      </c>
      <c r="R6" s="44">
        <f>(F6+(J6))/('Vergleich Holz Strom'!$B$8-0.6)*0.1889+12*9</f>
        <v>2570.0492623529412</v>
      </c>
      <c r="S6" s="45"/>
      <c r="Y6" s="47"/>
      <c r="AA6" s="45"/>
      <c r="AD6" s="48"/>
      <c r="AE6" s="45"/>
      <c r="AG6" s="47"/>
      <c r="AH6" s="48"/>
      <c r="AI6" s="47"/>
      <c r="AJ6" s="48"/>
      <c r="AL6" s="47"/>
      <c r="AM6" s="48"/>
      <c r="AQ6" s="45"/>
      <c r="AR6" s="48"/>
      <c r="AW6" s="47"/>
      <c r="AX6" s="48"/>
      <c r="AZ6" s="47"/>
      <c r="BB6" s="48"/>
      <c r="BD6" s="44"/>
      <c r="BJ6" s="45"/>
    </row>
    <row r="7" spans="1:62" x14ac:dyDescent="0.15">
      <c r="A7" s="49" t="s">
        <v>16</v>
      </c>
      <c r="B7" s="135">
        <f t="shared" si="0"/>
        <v>45783.06</v>
      </c>
      <c r="C7" s="50">
        <v>2657.4125099999997</v>
      </c>
      <c r="D7" s="50">
        <v>1947.2326809450119</v>
      </c>
      <c r="E7" s="50">
        <v>710.17982905498752</v>
      </c>
      <c r="F7" s="135">
        <f>6825.9*('Vergleich Holz Strom'!$B$8-0.6)</f>
        <v>23208.059999999998</v>
      </c>
      <c r="G7" s="51">
        <f t="shared" si="1"/>
        <v>0.50691369253169183</v>
      </c>
      <c r="H7" s="48">
        <v>1397.4125099999997</v>
      </c>
      <c r="I7" s="51">
        <f t="shared" si="1"/>
        <v>0.50678398858790985</v>
      </c>
      <c r="J7" s="135">
        <f>(L7-10)/90*'Vergleich Holz Strom'!$B$2*70%</f>
        <v>22575</v>
      </c>
      <c r="K7" s="51">
        <f t="shared" si="2"/>
        <v>0.49308630746830817</v>
      </c>
      <c r="L7" s="48">
        <v>1360</v>
      </c>
      <c r="M7" s="51">
        <f t="shared" si="2"/>
        <v>0.49321601141209015</v>
      </c>
      <c r="N7" s="44">
        <f>((F7/('Vergleich Holz Strom'!$B$8-0.6))*0.2675)+(J7/70%/('Vergleich Holz Strom'!$B$2/'Vergleich Holz Strom'!$B$3))</f>
        <v>3295.9282499999999</v>
      </c>
      <c r="O7" s="44">
        <f>L7/J7*(J7+F7)</f>
        <v>2758.1378338870431</v>
      </c>
      <c r="P7" s="44">
        <f>(F7+(J7))/('Vergleich Holz Strom'!$B$8-0.6)*0.2575</f>
        <v>3467.3935147058824</v>
      </c>
      <c r="Q7" s="44">
        <f>(F7+(J7))/('Vergleich Holz Strom'!$B$8-0.6)*0.1147</f>
        <v>1544.5049947058822</v>
      </c>
      <c r="R7" s="44">
        <f>(F7+(J7))/('Vergleich Holz Strom'!$B$8-0.6)*0.1889+12*9</f>
        <v>2651.6529511764707</v>
      </c>
      <c r="S7" s="45"/>
      <c r="Y7" s="47"/>
      <c r="AA7" s="45"/>
      <c r="AD7" s="48"/>
      <c r="AE7" s="45"/>
      <c r="AG7" s="47"/>
      <c r="AH7" s="48"/>
      <c r="AI7" s="47"/>
      <c r="AJ7" s="48"/>
      <c r="AL7" s="47"/>
      <c r="AM7" s="48"/>
      <c r="AQ7" s="45"/>
      <c r="AR7" s="48"/>
      <c r="AW7" s="47"/>
      <c r="AX7" s="48"/>
      <c r="AZ7" s="47"/>
      <c r="BB7" s="48"/>
      <c r="BD7" s="44"/>
      <c r="BJ7" s="45"/>
    </row>
    <row r="8" spans="1:62" x14ac:dyDescent="0.15">
      <c r="A8" s="49" t="s">
        <v>45</v>
      </c>
      <c r="B8" s="135">
        <f t="shared" si="0"/>
        <v>22575</v>
      </c>
      <c r="C8" s="50">
        <f>Monatsdaten!CW2</f>
        <v>1360</v>
      </c>
      <c r="D8" s="50">
        <f>Monatsdaten!CO2</f>
        <v>996.54699303166012</v>
      </c>
      <c r="E8" s="48">
        <f>Monatsdaten!CR2</f>
        <v>363.45300696833971</v>
      </c>
      <c r="F8" s="135">
        <f>((Monatsdaten!V2-Monatsdaten!X2)*('Vergleich Holz Strom'!$B$8-0.6))+Monatsdaten!X2</f>
        <v>0</v>
      </c>
      <c r="G8" s="51">
        <f t="shared" si="1"/>
        <v>0</v>
      </c>
      <c r="H8" s="52">
        <f>Monatsdaten!CV3</f>
        <v>0</v>
      </c>
      <c r="I8" s="51">
        <f t="shared" si="1"/>
        <v>0</v>
      </c>
      <c r="J8" s="135">
        <f>SUM(Monatsdaten!CU2:CU12)*70%</f>
        <v>22575</v>
      </c>
      <c r="K8" s="51">
        <f t="shared" si="2"/>
        <v>1</v>
      </c>
      <c r="L8" s="52">
        <f>Monatsdaten!CV9</f>
        <v>1360</v>
      </c>
      <c r="M8" s="51">
        <f t="shared" si="2"/>
        <v>1</v>
      </c>
      <c r="N8" s="44">
        <f>((F8/('Vergleich Holz Strom'!$B$8-0.6))*0.2675)+(J8/70%/('Vergleich Holz Strom'!$B$2/'Vergleich Holz Strom'!$B$3))</f>
        <v>1470.0000000000002</v>
      </c>
      <c r="O8" s="44">
        <f>Monatsdaten!CX2</f>
        <v>1360</v>
      </c>
      <c r="P8" s="44">
        <f>Monatsdaten!CY2</f>
        <v>1748.4558823529414</v>
      </c>
      <c r="Q8" s="44">
        <f>Monatsdaten!CZ2</f>
        <v>761.57426470588234</v>
      </c>
      <c r="R8" s="44">
        <f>Monatsdaten!DA2</f>
        <v>1362.240441176471</v>
      </c>
      <c r="V8" s="48"/>
      <c r="X8" s="47"/>
      <c r="AM8" s="45"/>
      <c r="AN8" s="47"/>
      <c r="AP8" s="45"/>
    </row>
    <row r="9" spans="1:62" x14ac:dyDescent="0.15">
      <c r="A9" s="49" t="s">
        <v>46</v>
      </c>
      <c r="B9" s="135">
        <f t="shared" si="0"/>
        <v>21070</v>
      </c>
      <c r="C9" s="50">
        <f>Monatsdaten!CW14</f>
        <v>1368</v>
      </c>
      <c r="D9" s="50">
        <f>Monatsdaten!CO14</f>
        <v>1002.4090341671405</v>
      </c>
      <c r="E9" s="48">
        <f>Monatsdaten!CR14</f>
        <v>365.59096583285935</v>
      </c>
      <c r="F9" s="135">
        <f>((Monatsdaten!V14-Monatsdaten!X14)*('Vergleich Holz Strom'!$B$8-0.6))+Monatsdaten!X14</f>
        <v>0</v>
      </c>
      <c r="G9" s="51">
        <f t="shared" si="1"/>
        <v>0</v>
      </c>
      <c r="H9" s="52">
        <f>Monatsdaten!CV15</f>
        <v>0</v>
      </c>
      <c r="I9" s="51">
        <f t="shared" si="1"/>
        <v>0</v>
      </c>
      <c r="J9" s="135">
        <f>SUM(Monatsdaten!CU14:CU25)*70%</f>
        <v>21070</v>
      </c>
      <c r="K9" s="51">
        <f t="shared" si="2"/>
        <v>1</v>
      </c>
      <c r="L9" s="52">
        <f>Monatsdaten!CV21</f>
        <v>1368</v>
      </c>
      <c r="M9" s="51">
        <f t="shared" si="2"/>
        <v>1</v>
      </c>
      <c r="N9" s="44">
        <f>((F9/('Vergleich Holz Strom'!$B$8-0.6))*0.2675)+(J9/70%/('Vergleich Holz Strom'!$B$2/'Vergleich Holz Strom'!$B$3))</f>
        <v>1372.0000000000002</v>
      </c>
      <c r="O9" s="44">
        <f>Monatsdaten!CX14</f>
        <v>1368</v>
      </c>
      <c r="P9" s="44">
        <f>Monatsdaten!CY14</f>
        <v>1657.7132352941178</v>
      </c>
      <c r="Q9" s="44">
        <f>Monatsdaten!CZ14</f>
        <v>679.39707089142883</v>
      </c>
      <c r="R9" s="44">
        <f>Monatsdaten!DA14</f>
        <v>1451.5794117647058</v>
      </c>
      <c r="S9" s="134">
        <v>9.9</v>
      </c>
      <c r="T9" s="134">
        <v>30</v>
      </c>
      <c r="V9" s="48"/>
      <c r="X9" s="47"/>
      <c r="AM9" s="45"/>
      <c r="AN9" s="47"/>
      <c r="AP9" s="45"/>
    </row>
    <row r="10" spans="1:62" x14ac:dyDescent="0.15">
      <c r="A10" s="49" t="s">
        <v>47</v>
      </c>
      <c r="B10" s="135">
        <f t="shared" si="0"/>
        <v>18060</v>
      </c>
      <c r="C10" s="50">
        <f>Monatsdaten!CW26</f>
        <v>1169</v>
      </c>
      <c r="D10" s="50">
        <f>Monatsdaten!CO26</f>
        <v>856.59076092206669</v>
      </c>
      <c r="E10" s="48">
        <f>Monatsdaten!CR26</f>
        <v>312.40923907793319</v>
      </c>
      <c r="F10" s="135">
        <f>((Monatsdaten!V26-Monatsdaten!X26)*('Vergleich Holz Strom'!$B$8-0.6))+Monatsdaten!X26</f>
        <v>0</v>
      </c>
      <c r="G10" s="51">
        <f t="shared" si="1"/>
        <v>0</v>
      </c>
      <c r="H10" s="52">
        <f>Monatsdaten!CV27</f>
        <v>0</v>
      </c>
      <c r="I10" s="51">
        <f t="shared" si="1"/>
        <v>0</v>
      </c>
      <c r="J10" s="135">
        <f>SUM(Monatsdaten!CU26:CU37)*70%</f>
        <v>18060</v>
      </c>
      <c r="K10" s="51">
        <f t="shared" si="2"/>
        <v>1</v>
      </c>
      <c r="L10" s="52">
        <f>Monatsdaten!CV33</f>
        <v>1169</v>
      </c>
      <c r="M10" s="51">
        <f t="shared" si="2"/>
        <v>1</v>
      </c>
      <c r="N10" s="44">
        <f>((F10/('Vergleich Holz Strom'!$B$8-0.6))*0.2675)+(J10/70%/('Vergleich Holz Strom'!$B$2/'Vergleich Holz Strom'!$B$3))</f>
        <v>1176</v>
      </c>
      <c r="O10" s="44">
        <f>Monatsdaten!CX26</f>
        <v>1169</v>
      </c>
      <c r="P10" s="44">
        <f>Monatsdaten!CY26</f>
        <v>1420.8970588235295</v>
      </c>
      <c r="Q10" s="44">
        <f>Monatsdaten!CZ26</f>
        <v>536.36319951703604</v>
      </c>
      <c r="R10" s="44">
        <f>Monatsdaten!DA26</f>
        <v>1264.7823529411764</v>
      </c>
      <c r="S10" s="134" t="s">
        <v>184</v>
      </c>
      <c r="T10" s="134" t="s">
        <v>185</v>
      </c>
      <c r="V10" s="48"/>
      <c r="X10" s="47"/>
      <c r="AM10" s="45"/>
      <c r="AN10" s="47"/>
      <c r="AP10" s="45"/>
    </row>
    <row r="11" spans="1:62" x14ac:dyDescent="0.15">
      <c r="A11" s="49" t="s">
        <v>48</v>
      </c>
      <c r="B11" s="135">
        <f t="shared" si="0"/>
        <v>18060</v>
      </c>
      <c r="C11" s="50">
        <f>Monatsdaten!CW38</f>
        <v>1169</v>
      </c>
      <c r="D11" s="50">
        <f>Monatsdaten!CO38</f>
        <v>856.59076092206669</v>
      </c>
      <c r="E11" s="48">
        <f>Monatsdaten!CR38</f>
        <v>312.40923907793319</v>
      </c>
      <c r="F11" s="135">
        <f>((Monatsdaten!V38-Monatsdaten!X38)*('Vergleich Holz Strom'!$B$8-0.6))+Monatsdaten!X38</f>
        <v>0</v>
      </c>
      <c r="G11" s="51">
        <f t="shared" si="1"/>
        <v>0</v>
      </c>
      <c r="H11" s="52">
        <f>Monatsdaten!CV39</f>
        <v>0</v>
      </c>
      <c r="I11" s="51">
        <f t="shared" si="1"/>
        <v>0</v>
      </c>
      <c r="J11" s="135">
        <f>SUM(Monatsdaten!CU38:CU49)*70%</f>
        <v>18060</v>
      </c>
      <c r="K11" s="51">
        <f t="shared" si="2"/>
        <v>1</v>
      </c>
      <c r="L11" s="52">
        <f>Monatsdaten!CV45</f>
        <v>1169</v>
      </c>
      <c r="M11" s="51">
        <f t="shared" si="2"/>
        <v>1</v>
      </c>
      <c r="N11" s="44">
        <f>((F11/('Vergleich Holz Strom'!$B$8-0.6))*0.2675)+(J11/70%/('Vergleich Holz Strom'!$B$2/'Vergleich Holz Strom'!$B$3))</f>
        <v>1176</v>
      </c>
      <c r="O11" s="44">
        <f>Monatsdaten!CX38</f>
        <v>1169</v>
      </c>
      <c r="P11" s="44">
        <f>Monatsdaten!CY38</f>
        <v>1420.8970588235295</v>
      </c>
      <c r="Q11" s="44">
        <f>Monatsdaten!CZ38</f>
        <v>517.25659724176774</v>
      </c>
      <c r="R11" s="44">
        <f>Monatsdaten!DA38</f>
        <v>1264.7823529411764</v>
      </c>
      <c r="S11" s="134">
        <v>9.9</v>
      </c>
      <c r="T11" s="134">
        <v>34</v>
      </c>
      <c r="V11" s="48"/>
      <c r="X11" s="47"/>
      <c r="AM11" s="45"/>
      <c r="AN11" s="47"/>
      <c r="AP11" s="45"/>
    </row>
    <row r="12" spans="1:62" x14ac:dyDescent="0.15">
      <c r="A12" s="49"/>
      <c r="B12" s="134"/>
      <c r="C12" s="50"/>
      <c r="D12" s="50"/>
      <c r="E12" s="48"/>
      <c r="F12" s="135"/>
      <c r="G12" s="135"/>
      <c r="H12" s="52"/>
      <c r="I12" s="48"/>
      <c r="J12" s="135"/>
      <c r="K12" s="135"/>
      <c r="L12" s="52"/>
      <c r="O12" s="48"/>
      <c r="V12" s="48"/>
      <c r="X12" s="47"/>
      <c r="AM12" s="45"/>
      <c r="AN12" s="47"/>
      <c r="AP12" s="45"/>
    </row>
    <row r="13" spans="1:62" x14ac:dyDescent="0.15">
      <c r="A13" s="49"/>
      <c r="B13" s="134"/>
      <c r="C13" s="50"/>
      <c r="D13" s="50"/>
      <c r="E13" s="48"/>
      <c r="F13" s="135"/>
      <c r="G13" s="135"/>
      <c r="H13" s="52"/>
      <c r="I13" s="48"/>
      <c r="J13" s="135"/>
      <c r="K13" s="135"/>
      <c r="L13" s="52"/>
      <c r="O13" s="48"/>
      <c r="V13" s="48"/>
      <c r="X13" s="47"/>
      <c r="AM13" s="45"/>
      <c r="AN13" s="47"/>
      <c r="AP13" s="45"/>
    </row>
    <row r="14" spans="1:62" x14ac:dyDescent="0.15">
      <c r="A14" s="49"/>
      <c r="B14" s="134"/>
      <c r="C14" s="50"/>
      <c r="D14" s="50"/>
      <c r="E14" s="48"/>
      <c r="F14" s="135"/>
      <c r="G14" s="135"/>
      <c r="H14" s="52"/>
      <c r="I14" s="48"/>
      <c r="J14" s="135"/>
      <c r="K14" s="135"/>
      <c r="L14" s="52"/>
      <c r="O14" s="48"/>
      <c r="V14" s="48"/>
      <c r="X14" s="47"/>
      <c r="AM14" s="45"/>
      <c r="AN14" s="47"/>
      <c r="AP14" s="45"/>
    </row>
    <row r="15" spans="1:62" x14ac:dyDescent="0.15">
      <c r="A15" s="49"/>
      <c r="B15" s="134"/>
      <c r="C15" s="50"/>
      <c r="D15" s="50"/>
      <c r="E15" s="48"/>
      <c r="F15" s="135"/>
      <c r="G15" s="135"/>
      <c r="H15" s="52"/>
      <c r="I15" s="48"/>
      <c r="J15" s="135"/>
      <c r="K15" s="135"/>
      <c r="L15" s="52"/>
      <c r="O15" s="48"/>
      <c r="V15" s="48"/>
      <c r="X15" s="47"/>
      <c r="AM15" s="45"/>
      <c r="AN15" s="47"/>
      <c r="AP15" s="45"/>
    </row>
    <row r="16" spans="1:62" x14ac:dyDescent="0.15">
      <c r="A16" s="49"/>
      <c r="B16" s="134"/>
      <c r="C16" s="50"/>
      <c r="D16" s="50"/>
      <c r="E16" s="48"/>
      <c r="F16" s="135"/>
      <c r="G16" s="135"/>
      <c r="H16" s="52"/>
      <c r="I16" s="48"/>
      <c r="J16" s="135"/>
      <c r="K16" s="135"/>
      <c r="L16" s="52"/>
      <c r="O16" s="48"/>
      <c r="V16" s="48"/>
      <c r="X16" s="47"/>
      <c r="AM16" s="45"/>
      <c r="AN16" s="47"/>
      <c r="AP16" s="45"/>
    </row>
    <row r="17" spans="1:42" x14ac:dyDescent="0.15">
      <c r="A17" s="49"/>
      <c r="B17" s="134"/>
      <c r="C17" s="50"/>
      <c r="D17" s="50"/>
      <c r="E17" s="48"/>
      <c r="F17" s="135"/>
      <c r="G17" s="135"/>
      <c r="H17" s="52"/>
      <c r="I17" s="48"/>
      <c r="J17" s="135"/>
      <c r="K17" s="135"/>
      <c r="L17" s="52"/>
      <c r="O17" s="48"/>
      <c r="V17" s="48"/>
      <c r="X17" s="47"/>
      <c r="AM17" s="45"/>
      <c r="AN17" s="47"/>
      <c r="AP17" s="45"/>
    </row>
    <row r="18" spans="1:42" x14ac:dyDescent="0.15">
      <c r="A18" s="49"/>
      <c r="B18" s="134"/>
      <c r="C18" s="50"/>
      <c r="D18" s="50"/>
      <c r="E18" s="48"/>
      <c r="F18" s="135"/>
      <c r="G18" s="135"/>
      <c r="H18" s="52"/>
      <c r="I18" s="48"/>
      <c r="J18" s="135"/>
      <c r="K18" s="135"/>
      <c r="L18" s="52"/>
      <c r="O18" s="48"/>
      <c r="V18" s="48"/>
      <c r="X18" s="47"/>
      <c r="AM18" s="45"/>
      <c r="AN18" s="47"/>
      <c r="AP18" s="45"/>
    </row>
    <row r="19" spans="1:42" x14ac:dyDescent="0.15">
      <c r="A19" s="49"/>
      <c r="B19" s="134"/>
      <c r="C19" s="50"/>
      <c r="D19" s="50"/>
      <c r="E19" s="48"/>
      <c r="F19" s="135"/>
      <c r="G19" s="135"/>
      <c r="H19" s="52"/>
      <c r="I19" s="48"/>
      <c r="J19" s="135"/>
      <c r="K19" s="135"/>
      <c r="L19" s="52"/>
      <c r="O19" s="48"/>
      <c r="V19" s="48"/>
      <c r="X19" s="47"/>
      <c r="AM19" s="45"/>
      <c r="AN19" s="47"/>
      <c r="AP19" s="45"/>
    </row>
    <row r="20" spans="1:42" x14ac:dyDescent="0.15">
      <c r="A20" s="49"/>
      <c r="B20" s="134"/>
      <c r="C20" s="50"/>
      <c r="D20" s="50"/>
      <c r="E20" s="48"/>
      <c r="F20" s="135"/>
      <c r="G20" s="135"/>
      <c r="H20" s="52"/>
      <c r="I20" s="48"/>
      <c r="J20" s="135"/>
      <c r="K20" s="135"/>
      <c r="L20" s="52"/>
      <c r="O20" s="48"/>
      <c r="V20" s="48"/>
      <c r="X20" s="47"/>
      <c r="AM20" s="45"/>
      <c r="AN20" s="47"/>
      <c r="AP20" s="45"/>
    </row>
    <row r="21" spans="1:42" x14ac:dyDescent="0.15">
      <c r="A21" s="49"/>
      <c r="B21" s="134"/>
      <c r="C21" s="50"/>
      <c r="D21" s="50"/>
      <c r="E21" s="48"/>
      <c r="F21" s="135"/>
      <c r="G21" s="135"/>
      <c r="H21" s="52"/>
      <c r="I21" s="48"/>
      <c r="J21" s="135"/>
      <c r="K21" s="135"/>
      <c r="L21" s="52"/>
      <c r="O21" s="48"/>
      <c r="V21" s="48"/>
      <c r="X21" s="47"/>
      <c r="AM21" s="45"/>
      <c r="AN21" s="47"/>
      <c r="AP21" s="45"/>
    </row>
    <row r="22" spans="1:42" x14ac:dyDescent="0.15">
      <c r="A22" s="49"/>
      <c r="B22" s="134"/>
      <c r="C22" s="50"/>
      <c r="D22" s="50"/>
      <c r="E22" s="48"/>
      <c r="F22" s="135"/>
      <c r="G22" s="135"/>
      <c r="H22" s="52"/>
      <c r="I22" s="48"/>
      <c r="J22" s="135"/>
      <c r="K22" s="135"/>
      <c r="L22" s="52"/>
      <c r="O22" s="48"/>
      <c r="V22" s="48"/>
      <c r="X22" s="47"/>
      <c r="AM22" s="45"/>
      <c r="AN22" s="47"/>
      <c r="AP22" s="45"/>
    </row>
    <row r="23" spans="1:42" x14ac:dyDescent="0.15">
      <c r="A23" s="49"/>
      <c r="B23" s="134"/>
      <c r="C23" s="50"/>
      <c r="D23" s="50"/>
      <c r="E23" s="48"/>
      <c r="F23" s="135"/>
      <c r="G23" s="135"/>
      <c r="H23" s="52"/>
      <c r="I23" s="48"/>
      <c r="J23" s="135"/>
      <c r="K23" s="135"/>
      <c r="L23" s="52"/>
      <c r="O23" s="48"/>
      <c r="V23" s="48"/>
      <c r="X23" s="47"/>
      <c r="AM23" s="45"/>
      <c r="AN23" s="47"/>
      <c r="AP23" s="45"/>
    </row>
    <row r="24" spans="1:42" x14ac:dyDescent="0.15">
      <c r="A24" s="49"/>
      <c r="B24" s="134"/>
      <c r="C24" s="50"/>
      <c r="D24" s="50"/>
      <c r="E24" s="48"/>
      <c r="F24" s="135"/>
      <c r="G24" s="135"/>
      <c r="H24" s="52"/>
      <c r="I24" s="48"/>
      <c r="J24" s="135"/>
      <c r="K24" s="135"/>
      <c r="L24" s="52"/>
      <c r="O24" s="48"/>
      <c r="V24" s="48"/>
      <c r="X24" s="47"/>
      <c r="AM24" s="45"/>
      <c r="AN24" s="47"/>
      <c r="AP24" s="45"/>
    </row>
    <row r="25" spans="1:42" x14ac:dyDescent="0.15">
      <c r="A25" s="49"/>
      <c r="B25" s="134"/>
      <c r="C25" s="50"/>
      <c r="D25" s="50"/>
      <c r="E25" s="48"/>
      <c r="F25" s="135"/>
      <c r="G25" s="135"/>
      <c r="H25" s="52"/>
      <c r="I25" s="48"/>
      <c r="J25" s="135"/>
      <c r="K25" s="135"/>
      <c r="L25" s="52"/>
      <c r="O25" s="48"/>
      <c r="V25" s="48"/>
      <c r="X25" s="47"/>
      <c r="AM25" s="45"/>
      <c r="AN25" s="47"/>
      <c r="AP25" s="45"/>
    </row>
    <row r="26" spans="1:42" x14ac:dyDescent="0.15">
      <c r="A26" s="49"/>
      <c r="B26" s="134"/>
      <c r="C26" s="50"/>
      <c r="D26" s="50"/>
      <c r="E26" s="48"/>
      <c r="F26" s="135"/>
      <c r="G26" s="135"/>
      <c r="H26" s="52"/>
      <c r="I26" s="48"/>
      <c r="J26" s="135"/>
      <c r="K26" s="135"/>
      <c r="L26" s="52"/>
      <c r="M26" s="267"/>
      <c r="O26" s="48"/>
      <c r="V26" s="48"/>
      <c r="X26" s="47"/>
      <c r="AM26" s="45"/>
      <c r="AN26" s="47"/>
      <c r="AP26" s="45"/>
    </row>
    <row r="27" spans="1:42" x14ac:dyDescent="0.15">
      <c r="A27" s="49"/>
      <c r="B27" s="134"/>
      <c r="C27" s="50"/>
      <c r="D27" s="50"/>
      <c r="E27" s="48"/>
      <c r="F27" s="135"/>
      <c r="G27" s="135"/>
      <c r="H27" s="52"/>
      <c r="I27" s="48"/>
      <c r="J27" s="135"/>
      <c r="K27" s="135"/>
      <c r="L27" s="52"/>
      <c r="O27" s="48"/>
      <c r="V27" s="48"/>
      <c r="X27" s="47"/>
      <c r="AM27" s="45"/>
      <c r="AN27" s="47"/>
      <c r="AP27" s="45"/>
    </row>
    <row r="28" spans="1:42" x14ac:dyDescent="0.15">
      <c r="A28" s="49"/>
      <c r="B28" s="134"/>
      <c r="C28" s="50"/>
      <c r="D28" s="50"/>
      <c r="E28" s="48"/>
      <c r="F28" s="135"/>
      <c r="G28" s="135"/>
      <c r="H28" s="52"/>
      <c r="I28" s="48"/>
      <c r="J28" s="135"/>
      <c r="K28" s="135"/>
      <c r="L28" s="52"/>
      <c r="O28" s="48"/>
      <c r="V28" s="48"/>
      <c r="X28" s="47"/>
      <c r="AM28" s="45"/>
      <c r="AN28" s="47"/>
      <c r="AP28" s="45"/>
    </row>
    <row r="29" spans="1:42" x14ac:dyDescent="0.15">
      <c r="A29" s="49"/>
      <c r="B29" s="134"/>
      <c r="C29" s="50"/>
      <c r="D29" s="50"/>
      <c r="E29" s="48"/>
      <c r="F29" s="135"/>
      <c r="G29" s="135"/>
      <c r="H29" s="52"/>
      <c r="I29" s="48"/>
      <c r="J29" s="135"/>
      <c r="K29" s="135"/>
      <c r="L29" s="52"/>
      <c r="O29" s="48"/>
      <c r="V29" s="48"/>
      <c r="X29" s="47"/>
      <c r="AM29" s="45"/>
      <c r="AN29" s="47"/>
      <c r="AP29" s="45"/>
    </row>
    <row r="30" spans="1:42" x14ac:dyDescent="0.15">
      <c r="A30" s="49"/>
      <c r="B30" s="134"/>
      <c r="C30" s="50"/>
      <c r="D30" s="50"/>
      <c r="E30" s="48"/>
      <c r="F30" s="135"/>
      <c r="G30" s="135"/>
      <c r="H30" s="52"/>
      <c r="I30" s="48"/>
      <c r="J30" s="135"/>
      <c r="K30" s="135"/>
      <c r="L30" s="52"/>
      <c r="O30" s="48"/>
      <c r="V30" s="48"/>
      <c r="X30" s="47"/>
      <c r="AM30" s="45"/>
      <c r="AN30" s="47"/>
      <c r="AP30" s="45"/>
    </row>
    <row r="31" spans="1:42" x14ac:dyDescent="0.15">
      <c r="A31" s="49"/>
      <c r="B31" s="134"/>
      <c r="C31" s="50"/>
      <c r="D31" s="50"/>
      <c r="E31" s="48"/>
      <c r="F31" s="135"/>
      <c r="G31" s="135"/>
      <c r="H31" s="52"/>
      <c r="I31" s="48"/>
      <c r="J31" s="135"/>
      <c r="K31" s="135"/>
      <c r="L31" s="52"/>
      <c r="O31" s="48"/>
      <c r="V31" s="48"/>
      <c r="X31" s="47"/>
      <c r="AM31" s="45"/>
      <c r="AN31" s="47"/>
      <c r="AP31" s="45"/>
    </row>
    <row r="32" spans="1:42" x14ac:dyDescent="0.15">
      <c r="A32" s="49"/>
      <c r="B32" s="134"/>
      <c r="C32" s="50"/>
      <c r="D32" s="50"/>
      <c r="E32" s="48"/>
      <c r="F32" s="135"/>
      <c r="G32" s="135"/>
      <c r="H32" s="52"/>
      <c r="I32" s="48"/>
      <c r="J32" s="135"/>
      <c r="K32" s="135"/>
      <c r="L32" s="52"/>
      <c r="O32" s="48"/>
      <c r="V32" s="48"/>
      <c r="X32" s="47"/>
      <c r="AM32" s="45"/>
      <c r="AN32" s="47"/>
      <c r="AP32" s="45"/>
    </row>
    <row r="33" spans="1:42" x14ac:dyDescent="0.15">
      <c r="A33" s="49"/>
      <c r="B33" s="134"/>
      <c r="C33" s="50"/>
      <c r="D33" s="50"/>
      <c r="E33" s="48"/>
      <c r="F33" s="45"/>
      <c r="G33" s="45"/>
      <c r="H33" s="52"/>
      <c r="I33" s="48"/>
      <c r="J33" s="45"/>
      <c r="K33" s="45"/>
      <c r="L33" s="52"/>
      <c r="O33" s="48"/>
      <c r="V33" s="48"/>
      <c r="X33" s="47"/>
      <c r="AM33" s="45"/>
      <c r="AN33" s="47"/>
      <c r="AP33" s="45"/>
    </row>
    <row r="34" spans="1:42" x14ac:dyDescent="0.15">
      <c r="A34" s="49"/>
      <c r="B34" s="134"/>
      <c r="C34" s="50"/>
      <c r="D34" s="50"/>
      <c r="E34" s="48"/>
      <c r="F34" s="45"/>
      <c r="G34" s="45"/>
      <c r="H34" s="52"/>
      <c r="I34" s="48"/>
      <c r="J34" s="45"/>
      <c r="K34" s="45"/>
      <c r="L34" s="52"/>
      <c r="O34" s="48"/>
      <c r="V34" s="48"/>
      <c r="X34" s="47"/>
      <c r="AM34" s="45"/>
      <c r="AN34" s="47"/>
      <c r="AP34" s="45"/>
    </row>
    <row r="35" spans="1:42" x14ac:dyDescent="0.15">
      <c r="A35" s="49"/>
      <c r="B35" s="134"/>
      <c r="C35" s="50"/>
      <c r="D35" s="50"/>
      <c r="E35" s="48"/>
      <c r="F35" s="45"/>
      <c r="G35" s="45"/>
      <c r="H35" s="52"/>
      <c r="I35" s="48"/>
      <c r="J35" s="45"/>
      <c r="K35" s="45"/>
      <c r="L35" s="52"/>
      <c r="O35" s="48"/>
      <c r="V35" s="48"/>
      <c r="X35" s="47"/>
      <c r="AM35" s="45"/>
      <c r="AN35" s="47"/>
      <c r="AP35" s="45"/>
    </row>
    <row r="36" spans="1:42" x14ac:dyDescent="0.15">
      <c r="A36" s="49"/>
      <c r="B36" s="134"/>
      <c r="C36" s="50"/>
      <c r="D36" s="50"/>
      <c r="E36" s="48"/>
      <c r="F36" s="45"/>
      <c r="G36" s="45"/>
      <c r="H36" s="52"/>
      <c r="I36" s="48"/>
      <c r="J36" s="45"/>
      <c r="K36" s="45"/>
      <c r="L36" s="52"/>
      <c r="O36" s="48"/>
      <c r="V36" s="48"/>
      <c r="X36" s="47"/>
      <c r="AM36" s="45"/>
      <c r="AN36" s="47"/>
      <c r="AP36" s="45"/>
    </row>
    <row r="37" spans="1:42" x14ac:dyDescent="0.15">
      <c r="A37" s="49"/>
      <c r="B37" s="134"/>
      <c r="C37" s="50"/>
      <c r="D37" s="50"/>
      <c r="E37" s="48"/>
      <c r="F37" s="45"/>
      <c r="G37" s="45"/>
      <c r="H37" s="52"/>
      <c r="I37" s="48"/>
      <c r="J37" s="45"/>
      <c r="K37" s="45"/>
      <c r="L37" s="52"/>
      <c r="O37" s="48"/>
      <c r="V37" s="48"/>
      <c r="X37" s="47"/>
      <c r="AM37" s="45"/>
      <c r="AN37" s="47"/>
      <c r="AP37" s="45"/>
    </row>
    <row r="38" spans="1:42" x14ac:dyDescent="0.15">
      <c r="A38" s="49"/>
      <c r="B38" s="134"/>
      <c r="C38" s="50"/>
      <c r="D38" s="50"/>
      <c r="E38" s="48"/>
      <c r="F38" s="45"/>
      <c r="G38" s="45"/>
      <c r="H38" s="52"/>
      <c r="I38" s="48"/>
      <c r="J38" s="45"/>
      <c r="K38" s="45"/>
      <c r="L38" s="52"/>
      <c r="O38" s="48"/>
      <c r="V38" s="48"/>
      <c r="X38" s="47"/>
      <c r="AM38" s="45"/>
      <c r="AN38" s="47"/>
      <c r="AP38" s="45"/>
    </row>
    <row r="39" spans="1:42" x14ac:dyDescent="0.15">
      <c r="A39" s="49"/>
      <c r="B39" s="134"/>
      <c r="C39" s="50"/>
      <c r="D39" s="50"/>
      <c r="E39" s="48"/>
      <c r="F39" s="45"/>
      <c r="G39" s="45"/>
      <c r="H39" s="52"/>
      <c r="I39" s="48"/>
      <c r="J39" s="45"/>
      <c r="K39" s="45"/>
      <c r="L39" s="52"/>
      <c r="O39" s="48"/>
      <c r="V39" s="48"/>
      <c r="X39" s="47"/>
      <c r="AM39" s="45"/>
      <c r="AN39" s="47"/>
      <c r="AP39" s="45"/>
    </row>
    <row r="40" spans="1:42" x14ac:dyDescent="0.15">
      <c r="A40" s="49"/>
      <c r="B40" s="134"/>
      <c r="C40" s="50"/>
      <c r="D40" s="50"/>
      <c r="E40" s="48"/>
      <c r="F40" s="45"/>
      <c r="G40" s="45"/>
      <c r="H40" s="52"/>
      <c r="I40" s="48"/>
      <c r="J40" s="45"/>
      <c r="K40" s="45"/>
      <c r="L40" s="52"/>
      <c r="O40" s="48"/>
      <c r="V40" s="48"/>
      <c r="X40" s="47"/>
      <c r="AM40" s="45"/>
      <c r="AN40" s="47"/>
      <c r="AP40" s="45"/>
    </row>
    <row r="42" spans="1:42" x14ac:dyDescent="0.15">
      <c r="A42" s="53">
        <v>275</v>
      </c>
      <c r="B42" s="53"/>
    </row>
    <row r="43" spans="1:42" x14ac:dyDescent="0.15">
      <c r="A43" s="53">
        <v>306</v>
      </c>
      <c r="B43" s="53"/>
    </row>
    <row r="44" spans="1:42" x14ac:dyDescent="0.15">
      <c r="A44" s="53">
        <v>336</v>
      </c>
      <c r="B44" s="53"/>
    </row>
    <row r="45" spans="1:42" x14ac:dyDescent="0.15">
      <c r="A45" s="53">
        <v>367</v>
      </c>
      <c r="B45" s="53"/>
    </row>
    <row r="46" spans="1:42" x14ac:dyDescent="0.15">
      <c r="A46" s="53">
        <v>398</v>
      </c>
      <c r="B46" s="53"/>
    </row>
    <row r="47" spans="1:42" x14ac:dyDescent="0.15">
      <c r="A47" s="53">
        <v>426</v>
      </c>
      <c r="B47" s="53"/>
    </row>
    <row r="48" spans="1:42" x14ac:dyDescent="0.15">
      <c r="A48" s="53">
        <v>457</v>
      </c>
      <c r="B48" s="53"/>
    </row>
    <row r="49" spans="1:2" x14ac:dyDescent="0.15">
      <c r="A49" s="53">
        <v>487</v>
      </c>
      <c r="B49" s="53"/>
    </row>
    <row r="50" spans="1:2" x14ac:dyDescent="0.15">
      <c r="A50" s="53">
        <v>518</v>
      </c>
      <c r="B50" s="53"/>
    </row>
    <row r="51" spans="1:2" x14ac:dyDescent="0.15">
      <c r="A51" s="53">
        <v>548</v>
      </c>
      <c r="B51" s="53"/>
    </row>
    <row r="52" spans="1:2" x14ac:dyDescent="0.15">
      <c r="A52" s="53">
        <v>579</v>
      </c>
      <c r="B52" s="53"/>
    </row>
    <row r="53" spans="1:2" x14ac:dyDescent="0.15">
      <c r="A53" s="53">
        <v>610</v>
      </c>
      <c r="B53" s="53"/>
    </row>
  </sheetData>
  <sheetProtection sheet="1" objects="1" scenarios="1"/>
  <mergeCells count="4">
    <mergeCell ref="J1:K1"/>
    <mergeCell ref="F1:G1"/>
    <mergeCell ref="H1:I1"/>
    <mergeCell ref="L1:M1"/>
  </mergeCells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41C4-D2CF-7644-AB73-51AB1A34B8CB}">
  <sheetPr>
    <tabColor rgb="FFFF0000"/>
  </sheetPr>
  <dimension ref="A2:M64"/>
  <sheetViews>
    <sheetView zoomScale="90" zoomScaleNormal="90" workbookViewId="0">
      <selection activeCell="F28" sqref="F28"/>
    </sheetView>
  </sheetViews>
  <sheetFormatPr baseColWidth="10" defaultColWidth="10.83203125" defaultRowHeight="16" x14ac:dyDescent="0.2"/>
  <cols>
    <col min="1" max="1" width="28.83203125" style="143" bestFit="1" customWidth="1"/>
    <col min="2" max="2" width="12.1640625" style="143" customWidth="1"/>
    <col min="3" max="3" width="1.6640625" style="144" customWidth="1"/>
    <col min="4" max="4" width="38.5" style="145" bestFit="1" customWidth="1"/>
    <col min="5" max="5" width="20.33203125" style="145" customWidth="1"/>
    <col min="6" max="13" width="16.6640625" style="145" customWidth="1"/>
    <col min="14" max="16384" width="10.83203125" style="144"/>
  </cols>
  <sheetData>
    <row r="2" spans="1:13" x14ac:dyDescent="0.2">
      <c r="A2" s="143" t="s">
        <v>72</v>
      </c>
      <c r="B2" s="160">
        <v>2150</v>
      </c>
      <c r="D2" s="145" t="s">
        <v>98</v>
      </c>
      <c r="E2" s="169">
        <v>0.38600000000000001</v>
      </c>
      <c r="F2" s="150">
        <v>0</v>
      </c>
      <c r="G2" s="150">
        <v>0.2</v>
      </c>
      <c r="H2" s="272">
        <v>0.27100000000000002</v>
      </c>
      <c r="I2" s="150">
        <v>0.4</v>
      </c>
      <c r="J2" s="150">
        <v>0.5</v>
      </c>
      <c r="K2" s="150">
        <v>0.6</v>
      </c>
      <c r="L2" s="150">
        <v>0.8</v>
      </c>
      <c r="M2" s="150">
        <v>1</v>
      </c>
    </row>
    <row r="3" spans="1:13" x14ac:dyDescent="0.2">
      <c r="A3" s="143" t="s">
        <v>73</v>
      </c>
      <c r="B3" s="161">
        <v>98</v>
      </c>
      <c r="D3" s="145" t="s">
        <v>74</v>
      </c>
      <c r="E3" s="145" t="str">
        <f>Monatsdaten!$DQ$13*E2&amp;" Watt"</f>
        <v>3860 Watt</v>
      </c>
      <c r="F3" s="145" t="str">
        <f>Monatsdaten!$DQ$13*F2&amp;" Watt"</f>
        <v>0 Watt</v>
      </c>
      <c r="G3" s="145" t="str">
        <f>Monatsdaten!$DQ$13*G2&amp;" Watt"</f>
        <v>2000 Watt</v>
      </c>
      <c r="H3" s="145" t="str">
        <f>Monatsdaten!$DQ$13*H2&amp;" Watt"</f>
        <v>2710 Watt</v>
      </c>
      <c r="I3" s="145" t="str">
        <f>Monatsdaten!$DQ$13*I2&amp;" Watt"</f>
        <v>4000 Watt</v>
      </c>
      <c r="J3" s="145" t="str">
        <f>Monatsdaten!$DQ$13*J2&amp;" Watt"</f>
        <v>5000 Watt</v>
      </c>
      <c r="K3" s="145" t="str">
        <f>Monatsdaten!$DQ$13*K2&amp;" Watt"</f>
        <v>6000 Watt</v>
      </c>
      <c r="L3" s="145" t="str">
        <f>Monatsdaten!$DQ$13*L2&amp;" Watt"</f>
        <v>8000 Watt</v>
      </c>
      <c r="M3" s="145" t="str">
        <f>Monatsdaten!$DQ$13*M2&amp;" Watt"</f>
        <v>10000 Watt</v>
      </c>
    </row>
    <row r="4" spans="1:13" x14ac:dyDescent="0.2">
      <c r="D4" s="146" t="s">
        <v>75</v>
      </c>
      <c r="E4" s="147">
        <f>$B$3</f>
        <v>98</v>
      </c>
      <c r="F4" s="147">
        <f t="shared" ref="F4:M4" si="0">$B$3</f>
        <v>98</v>
      </c>
      <c r="G4" s="147">
        <f t="shared" si="0"/>
        <v>98</v>
      </c>
      <c r="H4" s="147">
        <f t="shared" si="0"/>
        <v>98</v>
      </c>
      <c r="I4" s="147">
        <f t="shared" si="0"/>
        <v>98</v>
      </c>
      <c r="J4" s="147">
        <f t="shared" si="0"/>
        <v>98</v>
      </c>
      <c r="K4" s="147">
        <f t="shared" si="0"/>
        <v>98</v>
      </c>
      <c r="L4" s="147">
        <f t="shared" si="0"/>
        <v>98</v>
      </c>
      <c r="M4" s="147">
        <f t="shared" si="0"/>
        <v>98</v>
      </c>
    </row>
    <row r="5" spans="1:13" x14ac:dyDescent="0.2">
      <c r="A5" s="143" t="s">
        <v>76</v>
      </c>
      <c r="B5" s="148">
        <v>0.26750000000000002</v>
      </c>
      <c r="D5" s="145" t="s">
        <v>77</v>
      </c>
      <c r="E5" s="163">
        <f>$B$2</f>
        <v>2150</v>
      </c>
      <c r="F5" s="163">
        <f t="shared" ref="F5:M5" si="1">$B$2</f>
        <v>2150</v>
      </c>
      <c r="G5" s="163">
        <f t="shared" si="1"/>
        <v>2150</v>
      </c>
      <c r="H5" s="163">
        <f t="shared" si="1"/>
        <v>2150</v>
      </c>
      <c r="I5" s="163">
        <f t="shared" si="1"/>
        <v>2150</v>
      </c>
      <c r="J5" s="163">
        <f t="shared" si="1"/>
        <v>2150</v>
      </c>
      <c r="K5" s="163">
        <f t="shared" si="1"/>
        <v>2150</v>
      </c>
      <c r="L5" s="163">
        <f t="shared" si="1"/>
        <v>2150</v>
      </c>
      <c r="M5" s="163">
        <f t="shared" si="1"/>
        <v>2150</v>
      </c>
    </row>
    <row r="6" spans="1:13" x14ac:dyDescent="0.2">
      <c r="A6" s="143" t="s">
        <v>78</v>
      </c>
      <c r="B6" s="148">
        <v>9.74E-2</v>
      </c>
      <c r="D6" s="145" t="s">
        <v>79</v>
      </c>
      <c r="E6" s="150">
        <v>0.7</v>
      </c>
      <c r="F6" s="150">
        <v>0.7</v>
      </c>
      <c r="G6" s="150">
        <v>0.7</v>
      </c>
      <c r="H6" s="150">
        <v>0.7</v>
      </c>
      <c r="I6" s="150">
        <v>0.7</v>
      </c>
      <c r="J6" s="150">
        <v>0.7</v>
      </c>
      <c r="K6" s="150">
        <v>0.7</v>
      </c>
      <c r="L6" s="150">
        <v>0.7</v>
      </c>
      <c r="M6" s="150">
        <v>0.7</v>
      </c>
    </row>
    <row r="7" spans="1:13" x14ac:dyDescent="0.2">
      <c r="B7" s="148"/>
      <c r="D7" s="146" t="s">
        <v>80</v>
      </c>
      <c r="E7" s="151">
        <f t="shared" ref="E7:J7" si="2">E5*E6</f>
        <v>1505</v>
      </c>
      <c r="F7" s="151">
        <f t="shared" si="2"/>
        <v>1505</v>
      </c>
      <c r="G7" s="151">
        <f t="shared" si="2"/>
        <v>1505</v>
      </c>
      <c r="H7" s="151">
        <f t="shared" si="2"/>
        <v>1505</v>
      </c>
      <c r="I7" s="151">
        <f t="shared" si="2"/>
        <v>1505</v>
      </c>
      <c r="J7" s="151">
        <f t="shared" si="2"/>
        <v>1505</v>
      </c>
      <c r="K7" s="151">
        <f>J5*J6</f>
        <v>1505</v>
      </c>
      <c r="L7" s="151">
        <f>J5*J6</f>
        <v>1505</v>
      </c>
      <c r="M7" s="151">
        <f>M5*M6</f>
        <v>1505</v>
      </c>
    </row>
    <row r="8" spans="1:13" x14ac:dyDescent="0.2">
      <c r="A8" s="143" t="s">
        <v>81</v>
      </c>
      <c r="B8" s="152">
        <v>4</v>
      </c>
      <c r="D8" s="145" t="s">
        <v>82</v>
      </c>
      <c r="E8" s="153">
        <f t="shared" ref="E8:M8" si="3">E4/E7</f>
        <v>6.5116279069767441E-2</v>
      </c>
      <c r="F8" s="153">
        <f t="shared" si="3"/>
        <v>6.5116279069767441E-2</v>
      </c>
      <c r="G8" s="153">
        <f t="shared" si="3"/>
        <v>6.5116279069767441E-2</v>
      </c>
      <c r="H8" s="153">
        <f>H4/H7</f>
        <v>6.5116279069767441E-2</v>
      </c>
      <c r="I8" s="153">
        <f t="shared" si="3"/>
        <v>6.5116279069767441E-2</v>
      </c>
      <c r="J8" s="153">
        <f t="shared" si="3"/>
        <v>6.5116279069767441E-2</v>
      </c>
      <c r="K8" s="153">
        <f t="shared" si="3"/>
        <v>6.5116279069767441E-2</v>
      </c>
      <c r="L8" s="153">
        <f t="shared" si="3"/>
        <v>6.5116279069767441E-2</v>
      </c>
      <c r="M8" s="153">
        <f t="shared" si="3"/>
        <v>6.5116279069767441E-2</v>
      </c>
    </row>
    <row r="9" spans="1:13" x14ac:dyDescent="0.2">
      <c r="B9" s="148"/>
      <c r="D9" s="145" t="s">
        <v>81</v>
      </c>
      <c r="E9" s="154">
        <f>B8</f>
        <v>4</v>
      </c>
      <c r="F9" s="154">
        <f>B8</f>
        <v>4</v>
      </c>
      <c r="G9" s="154">
        <f>B8</f>
        <v>4</v>
      </c>
      <c r="H9" s="154">
        <f>B8</f>
        <v>4</v>
      </c>
      <c r="I9" s="154">
        <f>B8</f>
        <v>4</v>
      </c>
      <c r="J9" s="154">
        <f>B8</f>
        <v>4</v>
      </c>
      <c r="K9" s="154">
        <f>B8</f>
        <v>4</v>
      </c>
      <c r="L9" s="154">
        <f>B8</f>
        <v>4</v>
      </c>
      <c r="M9" s="154">
        <f>B8</f>
        <v>4</v>
      </c>
    </row>
    <row r="10" spans="1:13" x14ac:dyDescent="0.2">
      <c r="A10" s="143" t="s">
        <v>113</v>
      </c>
      <c r="B10" s="176">
        <v>200</v>
      </c>
      <c r="D10" s="145" t="s">
        <v>83</v>
      </c>
      <c r="E10" s="145">
        <f t="shared" ref="E10:M10" si="4">E9-0.6</f>
        <v>3.4</v>
      </c>
      <c r="F10" s="145">
        <f t="shared" si="4"/>
        <v>3.4</v>
      </c>
      <c r="G10" s="145">
        <f t="shared" si="4"/>
        <v>3.4</v>
      </c>
      <c r="H10" s="145">
        <f>H9-0.6</f>
        <v>3.4</v>
      </c>
      <c r="I10" s="145">
        <f t="shared" si="4"/>
        <v>3.4</v>
      </c>
      <c r="J10" s="145">
        <f t="shared" si="4"/>
        <v>3.4</v>
      </c>
      <c r="K10" s="145">
        <f t="shared" si="4"/>
        <v>3.4</v>
      </c>
      <c r="L10" s="145">
        <f t="shared" si="4"/>
        <v>3.4</v>
      </c>
      <c r="M10" s="145">
        <f t="shared" si="4"/>
        <v>3.4</v>
      </c>
    </row>
    <row r="11" spans="1:13" x14ac:dyDescent="0.2">
      <c r="A11" s="143" t="s">
        <v>112</v>
      </c>
      <c r="B11" s="176">
        <v>10</v>
      </c>
      <c r="D11" s="145" t="s">
        <v>84</v>
      </c>
      <c r="E11" s="155">
        <f>E7/E10</f>
        <v>442.64705882352945</v>
      </c>
      <c r="F11" s="155">
        <f t="shared" ref="F11:M11" si="5">F7/F10</f>
        <v>442.64705882352945</v>
      </c>
      <c r="G11" s="155">
        <f t="shared" si="5"/>
        <v>442.64705882352945</v>
      </c>
      <c r="H11" s="155">
        <f>H7/H10</f>
        <v>442.64705882352945</v>
      </c>
      <c r="I11" s="155">
        <f t="shared" si="5"/>
        <v>442.64705882352945</v>
      </c>
      <c r="J11" s="155">
        <f t="shared" si="5"/>
        <v>442.64705882352945</v>
      </c>
      <c r="K11" s="155">
        <f t="shared" si="5"/>
        <v>442.64705882352945</v>
      </c>
      <c r="L11" s="155">
        <f t="shared" si="5"/>
        <v>442.64705882352945</v>
      </c>
      <c r="M11" s="155">
        <f t="shared" si="5"/>
        <v>442.64705882352945</v>
      </c>
    </row>
    <row r="12" spans="1:13" x14ac:dyDescent="0.2">
      <c r="A12" s="143" t="s">
        <v>115</v>
      </c>
      <c r="B12" s="180">
        <v>0.15</v>
      </c>
      <c r="D12" s="145" t="s">
        <v>85</v>
      </c>
      <c r="E12" s="156">
        <f>B5*(1-E2)+B6*E2</f>
        <v>0.2018414</v>
      </c>
      <c r="F12" s="156">
        <f>B5*(1-F2)+B6*F2</f>
        <v>0.26750000000000002</v>
      </c>
      <c r="G12" s="156">
        <f>B5*(1-G2)+B6*G2</f>
        <v>0.23348000000000002</v>
      </c>
      <c r="H12" s="156">
        <f>B5*(1-H2)+B6*H2</f>
        <v>0.22140290000000001</v>
      </c>
      <c r="I12" s="156">
        <f>B5*(1-I2)+B6*I2</f>
        <v>0.19946</v>
      </c>
      <c r="J12" s="156">
        <f>B5*(1-J2)+B6*J2</f>
        <v>0.18245</v>
      </c>
      <c r="K12" s="156">
        <f>B5*(1-K2)+B6*K2</f>
        <v>0.16544</v>
      </c>
      <c r="L12" s="156">
        <f>B5*(1-L2)+B6*L2</f>
        <v>0.13141999999999998</v>
      </c>
      <c r="M12" s="156">
        <f>B5*(1-M2)+B6*M2</f>
        <v>9.74E-2</v>
      </c>
    </row>
    <row r="13" spans="1:13" x14ac:dyDescent="0.2">
      <c r="B13" s="148"/>
      <c r="D13" s="145" t="s">
        <v>82</v>
      </c>
      <c r="E13" s="156">
        <f t="shared" ref="E13:M13" si="6">E12/E10</f>
        <v>5.9365117647058825E-2</v>
      </c>
      <c r="F13" s="156">
        <f t="shared" si="6"/>
        <v>7.8676470588235306E-2</v>
      </c>
      <c r="G13" s="156">
        <f t="shared" si="6"/>
        <v>6.8670588235294122E-2</v>
      </c>
      <c r="H13" s="156">
        <f>H12/H10</f>
        <v>6.511850000000001E-2</v>
      </c>
      <c r="I13" s="156">
        <f t="shared" si="6"/>
        <v>5.8664705882352945E-2</v>
      </c>
      <c r="J13" s="156">
        <f t="shared" si="6"/>
        <v>5.3661764705882353E-2</v>
      </c>
      <c r="K13" s="156">
        <f t="shared" si="6"/>
        <v>4.8658823529411768E-2</v>
      </c>
      <c r="L13" s="156">
        <f t="shared" si="6"/>
        <v>3.8652941176470584E-2</v>
      </c>
      <c r="M13" s="156">
        <f t="shared" si="6"/>
        <v>2.8647058823529414E-2</v>
      </c>
    </row>
    <row r="14" spans="1:13" x14ac:dyDescent="0.2">
      <c r="B14" s="148"/>
      <c r="D14" s="146" t="s">
        <v>86</v>
      </c>
      <c r="E14" s="157">
        <f t="shared" ref="E14:M14" si="7">E11*E12</f>
        <v>89.344502058823537</v>
      </c>
      <c r="F14" s="157">
        <f t="shared" si="7"/>
        <v>118.40808823529413</v>
      </c>
      <c r="G14" s="157">
        <f t="shared" si="7"/>
        <v>103.34923529411766</v>
      </c>
      <c r="H14" s="157">
        <f>H11*H12</f>
        <v>98.003342500000016</v>
      </c>
      <c r="I14" s="157">
        <f t="shared" si="7"/>
        <v>88.29038235294118</v>
      </c>
      <c r="J14" s="157">
        <f t="shared" si="7"/>
        <v>80.760955882352945</v>
      </c>
      <c r="K14" s="157">
        <f t="shared" si="7"/>
        <v>73.231529411764711</v>
      </c>
      <c r="L14" s="157">
        <f t="shared" si="7"/>
        <v>58.172676470588229</v>
      </c>
      <c r="M14" s="157">
        <f t="shared" si="7"/>
        <v>43.113823529411768</v>
      </c>
    </row>
    <row r="15" spans="1:13" x14ac:dyDescent="0.2">
      <c r="B15" s="148"/>
      <c r="D15" s="146" t="s">
        <v>87</v>
      </c>
      <c r="E15" s="165">
        <f t="shared" ref="E15:M15" si="8">1/E4*E14</f>
        <v>0.9116785924369748</v>
      </c>
      <c r="F15" s="166">
        <f t="shared" si="8"/>
        <v>1.2082457983193278</v>
      </c>
      <c r="G15" s="166">
        <f t="shared" si="8"/>
        <v>1.0545840336134455</v>
      </c>
      <c r="H15" s="167">
        <f>1/H4*H14</f>
        <v>1.0000341071428571</v>
      </c>
      <c r="I15" s="168">
        <f t="shared" si="8"/>
        <v>0.900922268907563</v>
      </c>
      <c r="J15" s="168">
        <f t="shared" si="8"/>
        <v>0.82409138655462177</v>
      </c>
      <c r="K15" s="168">
        <f t="shared" si="8"/>
        <v>0.74726050420168066</v>
      </c>
      <c r="L15" s="168">
        <f t="shared" si="8"/>
        <v>0.59359873949579822</v>
      </c>
      <c r="M15" s="168">
        <f t="shared" si="8"/>
        <v>0.43993697478991595</v>
      </c>
    </row>
    <row r="16" spans="1:13" x14ac:dyDescent="0.2">
      <c r="B16" s="148"/>
    </row>
    <row r="17" spans="1:13" x14ac:dyDescent="0.2">
      <c r="B17" s="148"/>
    </row>
    <row r="18" spans="1:13" x14ac:dyDescent="0.2">
      <c r="D18" s="145" t="s">
        <v>74</v>
      </c>
      <c r="F18" s="145" t="s">
        <v>88</v>
      </c>
    </row>
    <row r="19" spans="1:13" x14ac:dyDescent="0.2">
      <c r="D19" s="145" t="s">
        <v>89</v>
      </c>
      <c r="F19" s="149">
        <v>3</v>
      </c>
    </row>
    <row r="20" spans="1:13" s="159" customFormat="1" x14ac:dyDescent="0.2">
      <c r="A20" s="158"/>
      <c r="B20" s="158"/>
      <c r="D20" s="146" t="s">
        <v>90</v>
      </c>
      <c r="E20" s="146"/>
      <c r="F20" s="273">
        <f>F19*B6</f>
        <v>0.29220000000000002</v>
      </c>
      <c r="G20" s="146"/>
      <c r="H20" s="146"/>
      <c r="I20" s="146"/>
      <c r="J20" s="146"/>
      <c r="K20" s="146"/>
      <c r="L20" s="146"/>
      <c r="M20" s="146"/>
    </row>
    <row r="21" spans="1:13" x14ac:dyDescent="0.2">
      <c r="D21" s="145" t="s">
        <v>81</v>
      </c>
      <c r="F21" s="154">
        <f>B8</f>
        <v>4</v>
      </c>
    </row>
    <row r="22" spans="1:13" x14ac:dyDescent="0.2">
      <c r="D22" s="145" t="s">
        <v>83</v>
      </c>
      <c r="F22" s="145">
        <f>F21-0.6</f>
        <v>3.4</v>
      </c>
    </row>
    <row r="23" spans="1:13" x14ac:dyDescent="0.2">
      <c r="D23" s="145" t="s">
        <v>91</v>
      </c>
      <c r="F23" s="155">
        <f>F19/F22</f>
        <v>0.88235294117647056</v>
      </c>
    </row>
    <row r="24" spans="1:13" s="159" customFormat="1" x14ac:dyDescent="0.2">
      <c r="A24" s="158"/>
      <c r="B24" s="158"/>
      <c r="D24" s="146" t="s">
        <v>92</v>
      </c>
      <c r="E24" s="146"/>
      <c r="F24" s="273">
        <f>F23*B5</f>
        <v>0.23602941176470588</v>
      </c>
      <c r="G24" s="146"/>
      <c r="H24" s="146"/>
      <c r="I24" s="146"/>
      <c r="J24" s="146"/>
      <c r="K24" s="146"/>
      <c r="L24" s="146"/>
      <c r="M24" s="146"/>
    </row>
    <row r="25" spans="1:13" x14ac:dyDescent="0.2">
      <c r="D25" s="146" t="s">
        <v>93</v>
      </c>
      <c r="E25" s="146"/>
      <c r="F25" s="166">
        <f>1/F20*F24</f>
        <v>0.80776663848290853</v>
      </c>
    </row>
    <row r="28" spans="1:13" x14ac:dyDescent="0.2">
      <c r="D28" s="145" t="s">
        <v>98</v>
      </c>
      <c r="F28" s="169">
        <v>0.38600000000000001</v>
      </c>
    </row>
    <row r="29" spans="1:13" x14ac:dyDescent="0.2">
      <c r="D29" s="145" t="s">
        <v>74</v>
      </c>
      <c r="F29" s="145" t="str">
        <f>11000*F28&amp;" Watt"</f>
        <v>4246 Watt</v>
      </c>
    </row>
    <row r="30" spans="1:13" x14ac:dyDescent="0.2">
      <c r="D30" s="145" t="s">
        <v>99</v>
      </c>
      <c r="F30" s="173">
        <v>11</v>
      </c>
    </row>
    <row r="31" spans="1:13" x14ac:dyDescent="0.2">
      <c r="D31" s="174" t="s">
        <v>75</v>
      </c>
      <c r="F31" s="170">
        <f>B3</f>
        <v>98</v>
      </c>
    </row>
    <row r="32" spans="1:13" x14ac:dyDescent="0.2">
      <c r="D32" s="146" t="s">
        <v>100</v>
      </c>
      <c r="E32" s="146"/>
      <c r="F32" s="147">
        <f>F30*F31</f>
        <v>1078</v>
      </c>
    </row>
    <row r="33" spans="1:9" x14ac:dyDescent="0.2">
      <c r="D33" s="145" t="s">
        <v>101</v>
      </c>
      <c r="F33" s="163">
        <f>F30*B2</f>
        <v>23650</v>
      </c>
    </row>
    <row r="34" spans="1:9" x14ac:dyDescent="0.2">
      <c r="D34" s="145" t="s">
        <v>79</v>
      </c>
      <c r="F34" s="150">
        <v>0.7</v>
      </c>
    </row>
    <row r="35" spans="1:9" x14ac:dyDescent="0.2">
      <c r="D35" s="146" t="s">
        <v>80</v>
      </c>
      <c r="F35" s="151">
        <f>F33*F34</f>
        <v>16555</v>
      </c>
    </row>
    <row r="36" spans="1:9" x14ac:dyDescent="0.2">
      <c r="D36" s="145" t="s">
        <v>81</v>
      </c>
      <c r="F36" s="154">
        <f>B8</f>
        <v>4</v>
      </c>
    </row>
    <row r="37" spans="1:9" x14ac:dyDescent="0.2">
      <c r="D37" s="145" t="s">
        <v>83</v>
      </c>
      <c r="F37" s="145">
        <f>F36-0.6</f>
        <v>3.4</v>
      </c>
    </row>
    <row r="38" spans="1:9" x14ac:dyDescent="0.2">
      <c r="D38" s="145" t="s">
        <v>84</v>
      </c>
      <c r="F38" s="171">
        <f>F35/F37</f>
        <v>4869.1176470588234</v>
      </c>
    </row>
    <row r="39" spans="1:9" x14ac:dyDescent="0.2">
      <c r="D39" s="145" t="s">
        <v>85</v>
      </c>
      <c r="F39" s="164">
        <f>B5*(1-F28)+B6*F28</f>
        <v>0.2018414</v>
      </c>
    </row>
    <row r="40" spans="1:9" x14ac:dyDescent="0.2">
      <c r="D40" s="145" t="s">
        <v>82</v>
      </c>
      <c r="F40" s="156">
        <f>F39/F37</f>
        <v>5.9365117647058825E-2</v>
      </c>
    </row>
    <row r="41" spans="1:9" x14ac:dyDescent="0.2">
      <c r="D41" s="146" t="s">
        <v>86</v>
      </c>
      <c r="F41" s="172">
        <f>F38*F39</f>
        <v>982.78952264705879</v>
      </c>
    </row>
    <row r="42" spans="1:9" x14ac:dyDescent="0.2">
      <c r="D42" s="146" t="s">
        <v>102</v>
      </c>
      <c r="E42" s="146"/>
      <c r="F42" s="172">
        <f>F41-F32</f>
        <v>-95.210477352941211</v>
      </c>
    </row>
    <row r="43" spans="1:9" x14ac:dyDescent="0.2">
      <c r="D43" s="274" t="s">
        <v>195</v>
      </c>
      <c r="F43" s="175">
        <f>F35*(0.211/F37)+(9*12)</f>
        <v>1135.3838235294118</v>
      </c>
    </row>
    <row r="46" spans="1:9" x14ac:dyDescent="0.2">
      <c r="D46" s="187" t="s">
        <v>110</v>
      </c>
      <c r="F46" s="179">
        <v>60</v>
      </c>
      <c r="I46" s="164"/>
    </row>
    <row r="47" spans="1:9" x14ac:dyDescent="0.2">
      <c r="D47" s="187" t="s">
        <v>120</v>
      </c>
      <c r="F47" s="179">
        <v>1</v>
      </c>
      <c r="I47" s="164"/>
    </row>
    <row r="48" spans="1:9" x14ac:dyDescent="0.2">
      <c r="A48" s="152"/>
      <c r="D48" s="177" t="s">
        <v>105</v>
      </c>
      <c r="F48" s="189">
        <f>F46-B12*(F47*24)</f>
        <v>56.4</v>
      </c>
      <c r="I48" s="164"/>
    </row>
    <row r="49" spans="4:8" x14ac:dyDescent="0.2">
      <c r="D49" s="182" t="s">
        <v>114</v>
      </c>
      <c r="E49" s="182"/>
      <c r="F49" s="183">
        <f>(F48*B6*E2)+(F48*B5*(100%-E2))</f>
        <v>11.383854960000001</v>
      </c>
    </row>
    <row r="50" spans="4:8" x14ac:dyDescent="0.2">
      <c r="D50" s="145" t="s">
        <v>81</v>
      </c>
      <c r="F50" s="154">
        <f>B8</f>
        <v>4</v>
      </c>
    </row>
    <row r="51" spans="4:8" x14ac:dyDescent="0.2">
      <c r="D51" s="145" t="s">
        <v>83</v>
      </c>
      <c r="F51" s="145">
        <f>F50-0.6</f>
        <v>3.4</v>
      </c>
    </row>
    <row r="52" spans="4:8" x14ac:dyDescent="0.2">
      <c r="D52" s="146" t="s">
        <v>106</v>
      </c>
      <c r="F52" s="178">
        <f>F48*F51</f>
        <v>191.76</v>
      </c>
    </row>
    <row r="53" spans="4:8" x14ac:dyDescent="0.2">
      <c r="D53" s="145" t="s">
        <v>79</v>
      </c>
      <c r="F53" s="150">
        <v>0.7</v>
      </c>
    </row>
    <row r="54" spans="4:8" x14ac:dyDescent="0.2">
      <c r="D54" s="177" t="s">
        <v>107</v>
      </c>
      <c r="F54" s="155">
        <f>F52/F53</f>
        <v>273.94285714285712</v>
      </c>
    </row>
    <row r="55" spans="4:8" x14ac:dyDescent="0.2">
      <c r="D55" s="177" t="s">
        <v>109</v>
      </c>
      <c r="F55" s="145">
        <f>B2/B10*B11</f>
        <v>107.5</v>
      </c>
    </row>
    <row r="56" spans="4:8" x14ac:dyDescent="0.2">
      <c r="D56" s="146" t="s">
        <v>108</v>
      </c>
      <c r="F56" s="190">
        <f>F54/F55</f>
        <v>2.5483056478405315</v>
      </c>
      <c r="G56" s="150"/>
      <c r="H56" s="181"/>
    </row>
    <row r="57" spans="4:8" x14ac:dyDescent="0.2">
      <c r="D57" s="185" t="s">
        <v>116</v>
      </c>
      <c r="E57" s="185"/>
      <c r="F57" s="186">
        <f>B3/B10*B11*F56</f>
        <v>12.486697674418606</v>
      </c>
    </row>
    <row r="58" spans="4:8" x14ac:dyDescent="0.2">
      <c r="D58" s="182" t="s">
        <v>121</v>
      </c>
      <c r="E58" s="182"/>
      <c r="F58" s="184">
        <f>B3/B10*B11*ROUNDUP(F56,0)</f>
        <v>14.700000000000001</v>
      </c>
    </row>
    <row r="59" spans="4:8" x14ac:dyDescent="0.2">
      <c r="D59" s="177" t="s">
        <v>111</v>
      </c>
      <c r="F59" s="181">
        <f>F55*F53/F51</f>
        <v>22.132352941176471</v>
      </c>
    </row>
    <row r="61" spans="4:8" x14ac:dyDescent="0.2">
      <c r="D61" s="182" t="s">
        <v>117</v>
      </c>
      <c r="E61" s="182"/>
      <c r="F61" s="182">
        <f>ROUNDDOWN(F46/F59,0)</f>
        <v>2</v>
      </c>
    </row>
    <row r="62" spans="4:8" x14ac:dyDescent="0.2">
      <c r="D62" s="187" t="s">
        <v>119</v>
      </c>
      <c r="F62" s="170">
        <f>F61*B3/B10*B11</f>
        <v>9.8000000000000007</v>
      </c>
    </row>
    <row r="63" spans="4:8" x14ac:dyDescent="0.2">
      <c r="D63" s="187" t="s">
        <v>118</v>
      </c>
      <c r="F63" s="170">
        <f>IF(F46&gt;F59,((F46-F59*F61)*B6*E2)+((F46-F59*F61)*B5*(100%-E2)),(F46*B6*E2)+(F46*B5*(100%-E2)))</f>
        <v>3.1760337941176471</v>
      </c>
    </row>
    <row r="64" spans="4:8" x14ac:dyDescent="0.2">
      <c r="D64" s="182" t="s">
        <v>69</v>
      </c>
      <c r="E64" s="182"/>
      <c r="F64" s="188">
        <f>F62+F63</f>
        <v>12.976033794117647</v>
      </c>
    </row>
  </sheetData>
  <sheetProtection sheet="1" objects="1" scenarios="1" selectLockedCells="1"/>
  <conditionalFormatting sqref="E15:G15 I15:M15">
    <cfRule type="colorScale" priority="3">
      <colorScale>
        <cfvo type="percent" val="&quot;&gt;105&quot;"/>
        <cfvo type="percent" val="&quot;95-105&quot;"/>
        <cfvo type="percent" val="&quot;&lt;95&quot;"/>
        <color rgb="FFF8696B"/>
        <color rgb="FFFFEB84"/>
        <color rgb="FF63BE7B"/>
      </colorScale>
    </cfRule>
  </conditionalFormatting>
  <conditionalFormatting sqref="H15">
    <cfRule type="colorScale" priority="1">
      <colorScale>
        <cfvo type="percent" val="&quot;&gt;105&quot;"/>
        <cfvo type="percent" val="&quot;95-105&quot;"/>
        <cfvo type="percent" val="&quot;&lt;95&quot;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0" orientation="portrait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894B-C47C-654F-A5A0-45A295D6424D}">
  <sheetPr>
    <tabColor rgb="FFFF0000"/>
  </sheetPr>
  <dimension ref="A1:P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3" x14ac:dyDescent="0.15"/>
  <cols>
    <col min="1" max="1" width="13.6640625" style="214" bestFit="1" customWidth="1"/>
    <col min="2" max="2" width="11.5" style="214" bestFit="1" customWidth="1"/>
    <col min="3" max="3" width="13.5" bestFit="1" customWidth="1"/>
    <col min="4" max="4" width="12.5" bestFit="1" customWidth="1"/>
    <col min="5" max="6" width="11.5" bestFit="1" customWidth="1"/>
    <col min="7" max="8" width="17.1640625" customWidth="1"/>
    <col min="9" max="9" width="16.33203125" style="214" customWidth="1"/>
    <col min="10" max="10" width="10.83203125" style="214"/>
    <col min="12" max="12" width="10.83203125" style="210"/>
    <col min="13" max="13" width="15.5" customWidth="1"/>
    <col min="14" max="14" width="15.5" bestFit="1" customWidth="1"/>
    <col min="15" max="15" width="11" bestFit="1" customWidth="1"/>
    <col min="16" max="16" width="10.83203125" style="217"/>
  </cols>
  <sheetData>
    <row r="1" spans="1:16" s="214" customFormat="1" ht="70" x14ac:dyDescent="0.15">
      <c r="B1" s="215" t="s">
        <v>146</v>
      </c>
      <c r="C1" s="215" t="s">
        <v>188</v>
      </c>
      <c r="D1" s="215" t="s">
        <v>189</v>
      </c>
      <c r="E1" s="215" t="s">
        <v>194</v>
      </c>
      <c r="F1" s="215" t="s">
        <v>190</v>
      </c>
      <c r="G1" s="215" t="s">
        <v>202</v>
      </c>
      <c r="H1" s="215" t="s">
        <v>203</v>
      </c>
      <c r="I1" s="215" t="s">
        <v>191</v>
      </c>
      <c r="J1" s="215" t="s">
        <v>147</v>
      </c>
      <c r="K1" s="215" t="s">
        <v>223</v>
      </c>
      <c r="L1" s="220" t="s">
        <v>150</v>
      </c>
      <c r="M1" s="215" t="s">
        <v>152</v>
      </c>
      <c r="N1" s="215" t="s">
        <v>153</v>
      </c>
      <c r="O1" s="215" t="s">
        <v>151</v>
      </c>
      <c r="P1" s="218"/>
    </row>
    <row r="2" spans="1:16" x14ac:dyDescent="0.15">
      <c r="A2" s="214" t="s">
        <v>134</v>
      </c>
      <c r="B2" s="216">
        <f t="shared" ref="B2:B13" si="0">C2+D2</f>
        <v>501.40000000000003</v>
      </c>
      <c r="C2" s="210">
        <v>261.60000000000002</v>
      </c>
      <c r="D2" s="210">
        <v>239.8</v>
      </c>
      <c r="E2" s="210">
        <v>86.9</v>
      </c>
      <c r="F2" s="210">
        <v>72.5</v>
      </c>
      <c r="G2" s="210">
        <f>C2+E2</f>
        <v>348.5</v>
      </c>
      <c r="H2" s="210">
        <f>D2+F2</f>
        <v>312.3</v>
      </c>
      <c r="I2" s="216">
        <f>SUM(C2:F2)</f>
        <v>660.80000000000007</v>
      </c>
      <c r="J2" s="219">
        <f t="shared" ref="J2:J14" si="1">I2-B2</f>
        <v>159.40000000000003</v>
      </c>
      <c r="K2" s="217">
        <f>1/B2*J2</f>
        <v>0.31790985241324293</v>
      </c>
      <c r="L2" s="210">
        <v>1714.69</v>
      </c>
      <c r="M2" s="217">
        <f t="shared" ref="M2:M14" si="2">1/L2*B2</f>
        <v>0.29241437227720463</v>
      </c>
      <c r="N2" s="217">
        <f>1/L2*I2</f>
        <v>0.38537578221136187</v>
      </c>
      <c r="O2" s="217">
        <f t="shared" ref="O2:O13" si="3">IF(N2&lt;100%,N2,100%)</f>
        <v>0.38537578221136187</v>
      </c>
    </row>
    <row r="3" spans="1:16" x14ac:dyDescent="0.15">
      <c r="A3" s="214" t="s">
        <v>135</v>
      </c>
      <c r="B3" s="216">
        <f t="shared" si="0"/>
        <v>675.2</v>
      </c>
      <c r="C3" s="210">
        <v>352.3</v>
      </c>
      <c r="D3" s="210">
        <v>322.89999999999998</v>
      </c>
      <c r="E3" s="210">
        <v>134.69999999999999</v>
      </c>
      <c r="F3" s="210">
        <v>112.3</v>
      </c>
      <c r="G3" s="210">
        <f t="shared" ref="G3:G13" si="4">C3+E3</f>
        <v>487</v>
      </c>
      <c r="H3" s="210">
        <f t="shared" ref="H3:H13" si="5">D3+F3</f>
        <v>435.2</v>
      </c>
      <c r="I3" s="216">
        <f t="shared" ref="I3:I14" si="6">SUM(C3:F3)</f>
        <v>922.2</v>
      </c>
      <c r="J3" s="219">
        <f t="shared" si="1"/>
        <v>247</v>
      </c>
      <c r="K3" s="217">
        <f t="shared" ref="K3:K16" si="7">1/B3*J3</f>
        <v>0.36581753554502366</v>
      </c>
      <c r="L3" s="210">
        <v>2002.9200000000014</v>
      </c>
      <c r="M3" s="217">
        <f t="shared" si="2"/>
        <v>0.33710782257903438</v>
      </c>
      <c r="N3" s="217">
        <f t="shared" ref="N3:N14" si="8">1/L3*I3</f>
        <v>0.46042777544784586</v>
      </c>
      <c r="O3" s="217">
        <f t="shared" si="3"/>
        <v>0.46042777544784586</v>
      </c>
    </row>
    <row r="4" spans="1:16" x14ac:dyDescent="0.15">
      <c r="A4" s="214" t="s">
        <v>136</v>
      </c>
      <c r="B4" s="216">
        <f t="shared" si="0"/>
        <v>1310.5999999999999</v>
      </c>
      <c r="C4" s="210">
        <v>683.8</v>
      </c>
      <c r="D4" s="210">
        <v>626.79999999999995</v>
      </c>
      <c r="E4" s="210">
        <v>299.7</v>
      </c>
      <c r="F4" s="210">
        <v>249.7</v>
      </c>
      <c r="G4" s="210">
        <f t="shared" si="4"/>
        <v>983.5</v>
      </c>
      <c r="H4" s="210">
        <f t="shared" si="5"/>
        <v>876.5</v>
      </c>
      <c r="I4" s="216">
        <f t="shared" si="6"/>
        <v>1860</v>
      </c>
      <c r="J4" s="219">
        <f t="shared" si="1"/>
        <v>549.40000000000009</v>
      </c>
      <c r="K4" s="217">
        <f t="shared" si="7"/>
        <v>0.41919731420723344</v>
      </c>
      <c r="L4" s="210">
        <v>1656.0600000000004</v>
      </c>
      <c r="M4" s="217">
        <f t="shared" si="2"/>
        <v>0.79139644698863543</v>
      </c>
      <c r="N4" s="217">
        <f t="shared" si="8"/>
        <v>1.1231477120394187</v>
      </c>
      <c r="O4" s="217">
        <f t="shared" si="3"/>
        <v>1</v>
      </c>
    </row>
    <row r="5" spans="1:16" x14ac:dyDescent="0.15">
      <c r="A5" s="214" t="s">
        <v>137</v>
      </c>
      <c r="B5" s="216">
        <f t="shared" si="0"/>
        <v>1825</v>
      </c>
      <c r="C5" s="210">
        <v>952.2</v>
      </c>
      <c r="D5" s="210">
        <v>872.8</v>
      </c>
      <c r="E5" s="210">
        <v>579.4</v>
      </c>
      <c r="F5" s="210">
        <v>482.9</v>
      </c>
      <c r="G5" s="210">
        <f t="shared" si="4"/>
        <v>1531.6</v>
      </c>
      <c r="H5" s="210">
        <f t="shared" si="5"/>
        <v>1355.6999999999998</v>
      </c>
      <c r="I5" s="216">
        <f t="shared" si="6"/>
        <v>2887.3</v>
      </c>
      <c r="J5" s="219">
        <f t="shared" si="1"/>
        <v>1062.3000000000002</v>
      </c>
      <c r="K5" s="217">
        <f t="shared" si="7"/>
        <v>0.58208219178082199</v>
      </c>
      <c r="L5" s="210">
        <v>1407.4099999999999</v>
      </c>
      <c r="M5" s="217">
        <f t="shared" si="2"/>
        <v>1.2967081376429044</v>
      </c>
      <c r="N5" s="217">
        <f t="shared" si="8"/>
        <v>2.0514988525021143</v>
      </c>
      <c r="O5" s="217">
        <f t="shared" si="3"/>
        <v>1</v>
      </c>
    </row>
    <row r="6" spans="1:16" x14ac:dyDescent="0.15">
      <c r="A6" s="214" t="s">
        <v>138</v>
      </c>
      <c r="B6" s="216">
        <f t="shared" si="0"/>
        <v>1952.1</v>
      </c>
      <c r="C6" s="210">
        <v>1018.5</v>
      </c>
      <c r="D6" s="210">
        <v>933.6</v>
      </c>
      <c r="E6" s="210">
        <v>785.1</v>
      </c>
      <c r="F6" s="210">
        <v>654.20000000000005</v>
      </c>
      <c r="G6" s="210">
        <f t="shared" si="4"/>
        <v>1803.6</v>
      </c>
      <c r="H6" s="210">
        <f t="shared" si="5"/>
        <v>1587.8000000000002</v>
      </c>
      <c r="I6" s="216">
        <f t="shared" si="6"/>
        <v>3391.3999999999996</v>
      </c>
      <c r="J6" s="219">
        <f t="shared" si="1"/>
        <v>1439.2999999999997</v>
      </c>
      <c r="K6" s="217">
        <f t="shared" si="7"/>
        <v>0.73730853952154074</v>
      </c>
      <c r="L6" s="210">
        <v>1582.55</v>
      </c>
      <c r="M6" s="217">
        <f t="shared" si="2"/>
        <v>1.233515528735269</v>
      </c>
      <c r="N6" s="217">
        <f t="shared" si="8"/>
        <v>2.1429970617042113</v>
      </c>
      <c r="O6" s="217">
        <f t="shared" si="3"/>
        <v>1</v>
      </c>
    </row>
    <row r="7" spans="1:16" x14ac:dyDescent="0.15">
      <c r="A7" s="214" t="s">
        <v>139</v>
      </c>
      <c r="B7" s="216">
        <f t="shared" si="0"/>
        <v>1986.8</v>
      </c>
      <c r="C7" s="210">
        <v>1036.5999999999999</v>
      </c>
      <c r="D7" s="210">
        <v>950.2</v>
      </c>
      <c r="E7" s="210">
        <v>877.5</v>
      </c>
      <c r="F7" s="210">
        <v>731.3</v>
      </c>
      <c r="G7" s="210">
        <f t="shared" si="4"/>
        <v>1914.1</v>
      </c>
      <c r="H7" s="210">
        <f t="shared" si="5"/>
        <v>1681.5</v>
      </c>
      <c r="I7" s="216">
        <f t="shared" si="6"/>
        <v>3595.6000000000004</v>
      </c>
      <c r="J7" s="219">
        <f t="shared" si="1"/>
        <v>1608.8000000000004</v>
      </c>
      <c r="K7" s="217">
        <f t="shared" si="7"/>
        <v>0.80974431246225109</v>
      </c>
      <c r="L7" s="210">
        <v>887.09999999999991</v>
      </c>
      <c r="M7" s="217">
        <f t="shared" si="2"/>
        <v>2.2396573103370536</v>
      </c>
      <c r="N7" s="217">
        <f t="shared" si="8"/>
        <v>4.0532070792469854</v>
      </c>
      <c r="O7" s="217">
        <f t="shared" si="3"/>
        <v>1</v>
      </c>
    </row>
    <row r="8" spans="1:16" x14ac:dyDescent="0.15">
      <c r="A8" s="214" t="s">
        <v>140</v>
      </c>
      <c r="B8" s="216">
        <f t="shared" si="0"/>
        <v>2021.5</v>
      </c>
      <c r="C8" s="210">
        <v>1054.7</v>
      </c>
      <c r="D8" s="210">
        <v>966.8</v>
      </c>
      <c r="E8" s="210">
        <v>857.6</v>
      </c>
      <c r="F8" s="210">
        <v>714.7</v>
      </c>
      <c r="G8" s="210">
        <f t="shared" si="4"/>
        <v>1912.3000000000002</v>
      </c>
      <c r="H8" s="210">
        <f t="shared" si="5"/>
        <v>1681.5</v>
      </c>
      <c r="I8" s="216">
        <f t="shared" si="6"/>
        <v>3593.8</v>
      </c>
      <c r="J8" s="219">
        <f t="shared" si="1"/>
        <v>1572.3000000000002</v>
      </c>
      <c r="K8" s="217">
        <f t="shared" si="7"/>
        <v>0.77778877071481589</v>
      </c>
      <c r="L8" s="210">
        <v>987.56999999999994</v>
      </c>
      <c r="M8" s="217">
        <f t="shared" si="2"/>
        <v>2.0469435078019784</v>
      </c>
      <c r="N8" s="217">
        <f t="shared" si="8"/>
        <v>3.6390331824579523</v>
      </c>
      <c r="O8" s="217">
        <f t="shared" si="3"/>
        <v>1</v>
      </c>
    </row>
    <row r="9" spans="1:16" x14ac:dyDescent="0.15">
      <c r="A9" s="214" t="s">
        <v>141</v>
      </c>
      <c r="B9" s="216">
        <f t="shared" si="0"/>
        <v>1862.1</v>
      </c>
      <c r="C9" s="210">
        <v>971.5</v>
      </c>
      <c r="D9" s="210">
        <v>890.6</v>
      </c>
      <c r="E9" s="210">
        <v>656.5</v>
      </c>
      <c r="F9" s="210">
        <v>547.1</v>
      </c>
      <c r="G9" s="210">
        <f t="shared" si="4"/>
        <v>1628</v>
      </c>
      <c r="H9" s="210">
        <f t="shared" si="5"/>
        <v>1437.7</v>
      </c>
      <c r="I9" s="216">
        <f t="shared" si="6"/>
        <v>3065.7</v>
      </c>
      <c r="J9" s="219">
        <f t="shared" si="1"/>
        <v>1203.5999999999999</v>
      </c>
      <c r="K9" s="217">
        <f t="shared" si="7"/>
        <v>0.64636700499436117</v>
      </c>
      <c r="L9" s="210">
        <v>877.83999999999992</v>
      </c>
      <c r="M9" s="217">
        <f t="shared" si="2"/>
        <v>2.1212293812084209</v>
      </c>
      <c r="N9" s="217">
        <f t="shared" si="8"/>
        <v>3.4923220632461502</v>
      </c>
      <c r="O9" s="217">
        <f t="shared" si="3"/>
        <v>1</v>
      </c>
    </row>
    <row r="10" spans="1:16" x14ac:dyDescent="0.15">
      <c r="A10" s="214" t="s">
        <v>142</v>
      </c>
      <c r="B10" s="216">
        <f t="shared" si="0"/>
        <v>1546.2</v>
      </c>
      <c r="C10" s="210">
        <v>806.7</v>
      </c>
      <c r="D10" s="210">
        <v>739.5</v>
      </c>
      <c r="E10" s="210">
        <v>382.1</v>
      </c>
      <c r="F10" s="210">
        <v>318.39999999999998</v>
      </c>
      <c r="G10" s="210">
        <f t="shared" si="4"/>
        <v>1188.8000000000002</v>
      </c>
      <c r="H10" s="210">
        <f t="shared" si="5"/>
        <v>1057.9000000000001</v>
      </c>
      <c r="I10" s="216">
        <f t="shared" si="6"/>
        <v>2246.7000000000003</v>
      </c>
      <c r="J10" s="219">
        <f t="shared" si="1"/>
        <v>700.50000000000023</v>
      </c>
      <c r="K10" s="217">
        <f t="shared" si="7"/>
        <v>0.45304617772603817</v>
      </c>
      <c r="L10" s="210">
        <v>1220.7</v>
      </c>
      <c r="M10" s="217">
        <f t="shared" si="2"/>
        <v>1.2666502826247237</v>
      </c>
      <c r="N10" s="217">
        <f t="shared" si="8"/>
        <v>1.8405013516834605</v>
      </c>
      <c r="O10" s="217">
        <f t="shared" si="3"/>
        <v>1</v>
      </c>
    </row>
    <row r="11" spans="1:16" x14ac:dyDescent="0.15">
      <c r="A11" s="214" t="s">
        <v>143</v>
      </c>
      <c r="B11" s="216">
        <f t="shared" si="0"/>
        <v>1099</v>
      </c>
      <c r="C11" s="210">
        <v>573.4</v>
      </c>
      <c r="D11" s="210">
        <v>525.6</v>
      </c>
      <c r="E11" s="210">
        <v>173.3</v>
      </c>
      <c r="F11" s="210">
        <v>144.4</v>
      </c>
      <c r="G11" s="210">
        <f t="shared" si="4"/>
        <v>746.7</v>
      </c>
      <c r="H11" s="210">
        <f t="shared" si="5"/>
        <v>670</v>
      </c>
      <c r="I11" s="216">
        <f t="shared" si="6"/>
        <v>1416.7</v>
      </c>
      <c r="J11" s="219">
        <f t="shared" si="1"/>
        <v>317.70000000000005</v>
      </c>
      <c r="K11" s="217">
        <f t="shared" si="7"/>
        <v>0.28908098271155602</v>
      </c>
      <c r="L11" s="210">
        <v>1301.5099999999998</v>
      </c>
      <c r="M11" s="217">
        <f t="shared" si="2"/>
        <v>0.84440380788468794</v>
      </c>
      <c r="N11" s="217">
        <f t="shared" si="8"/>
        <v>1.0885048904733734</v>
      </c>
      <c r="O11" s="217">
        <f t="shared" si="3"/>
        <v>1</v>
      </c>
    </row>
    <row r="12" spans="1:16" x14ac:dyDescent="0.15">
      <c r="A12" s="214" t="s">
        <v>144</v>
      </c>
      <c r="B12" s="216">
        <f t="shared" si="0"/>
        <v>565.1</v>
      </c>
      <c r="C12" s="210">
        <v>294.8</v>
      </c>
      <c r="D12" s="210">
        <v>270.3</v>
      </c>
      <c r="E12" s="210">
        <v>95.2</v>
      </c>
      <c r="F12" s="210">
        <v>79.3</v>
      </c>
      <c r="G12" s="210">
        <f t="shared" si="4"/>
        <v>390</v>
      </c>
      <c r="H12" s="210">
        <f t="shared" si="5"/>
        <v>349.6</v>
      </c>
      <c r="I12" s="216">
        <f t="shared" si="6"/>
        <v>739.6</v>
      </c>
      <c r="J12" s="219">
        <f t="shared" si="1"/>
        <v>174.5</v>
      </c>
      <c r="K12" s="217">
        <f t="shared" si="7"/>
        <v>0.30879490355689254</v>
      </c>
      <c r="L12" s="210">
        <v>1102.5700000000002</v>
      </c>
      <c r="M12" s="217">
        <f t="shared" si="2"/>
        <v>0.51252981670098041</v>
      </c>
      <c r="N12" s="217">
        <f t="shared" si="8"/>
        <v>0.67079641201919149</v>
      </c>
      <c r="O12" s="217">
        <f t="shared" si="3"/>
        <v>0.67079641201919149</v>
      </c>
    </row>
    <row r="13" spans="1:16" x14ac:dyDescent="0.15">
      <c r="A13" s="214" t="s">
        <v>145</v>
      </c>
      <c r="B13" s="216">
        <f t="shared" si="0"/>
        <v>429.9</v>
      </c>
      <c r="C13" s="210">
        <v>224.3</v>
      </c>
      <c r="D13" s="210">
        <v>205.6</v>
      </c>
      <c r="E13" s="210">
        <v>70.900000000000006</v>
      </c>
      <c r="F13" s="210">
        <v>59.1</v>
      </c>
      <c r="G13" s="210">
        <f t="shared" si="4"/>
        <v>295.20000000000005</v>
      </c>
      <c r="H13" s="210">
        <f t="shared" si="5"/>
        <v>264.7</v>
      </c>
      <c r="I13" s="216">
        <f t="shared" si="6"/>
        <v>559.9</v>
      </c>
      <c r="J13" s="219">
        <f t="shared" si="1"/>
        <v>130</v>
      </c>
      <c r="K13" s="217">
        <f t="shared" si="7"/>
        <v>0.30239590602465688</v>
      </c>
      <c r="L13" s="210">
        <v>1695.52</v>
      </c>
      <c r="M13" s="217">
        <f t="shared" si="2"/>
        <v>0.253550533169765</v>
      </c>
      <c r="N13" s="217">
        <f t="shared" si="8"/>
        <v>0.33022317637067095</v>
      </c>
      <c r="O13" s="217">
        <f t="shared" si="3"/>
        <v>0.33022317637067095</v>
      </c>
    </row>
    <row r="14" spans="1:16" s="214" customFormat="1" x14ac:dyDescent="0.15">
      <c r="A14" s="214" t="s">
        <v>148</v>
      </c>
      <c r="B14" s="216">
        <f>SUM(B2:B13)</f>
        <v>15774.9</v>
      </c>
      <c r="C14" s="216">
        <f>SUM(C2:C13)</f>
        <v>8230.4</v>
      </c>
      <c r="D14" s="216">
        <f>SUM(D2:D13)</f>
        <v>7544.5000000000018</v>
      </c>
      <c r="E14" s="216">
        <f>SUM(E2:E13)</f>
        <v>4998.8999999999996</v>
      </c>
      <c r="F14" s="216">
        <f>SUM(F2:F13)</f>
        <v>4165.8999999999996</v>
      </c>
      <c r="G14" s="216">
        <f t="shared" ref="G14" si="9">C14+E14</f>
        <v>13229.3</v>
      </c>
      <c r="H14" s="216">
        <f t="shared" ref="H14" si="10">D14+F14</f>
        <v>11710.400000000001</v>
      </c>
      <c r="I14" s="216">
        <f t="shared" si="6"/>
        <v>24939.700000000004</v>
      </c>
      <c r="J14" s="216">
        <f t="shared" si="1"/>
        <v>9164.8000000000047</v>
      </c>
      <c r="K14" s="218">
        <f t="shared" si="7"/>
        <v>0.58097357194023447</v>
      </c>
      <c r="L14" s="216">
        <f>SUM(L2:L13)</f>
        <v>16436.440000000002</v>
      </c>
      <c r="M14" s="218">
        <f t="shared" si="2"/>
        <v>0.95975162504775957</v>
      </c>
      <c r="N14" s="218">
        <f t="shared" si="8"/>
        <v>1.5173419548272011</v>
      </c>
      <c r="O14" s="218">
        <f>SUM(O2:O13)/12</f>
        <v>0.82056859550408923</v>
      </c>
      <c r="P14" s="218"/>
    </row>
    <row r="15" spans="1:16" x14ac:dyDescent="0.15">
      <c r="A15" s="214" t="s">
        <v>192</v>
      </c>
      <c r="B15" s="268">
        <f ca="1">-Monatsdaten!$BP$2/25/B$14</f>
        <v>0.11513896126124412</v>
      </c>
      <c r="C15" s="271"/>
      <c r="I15" s="268">
        <f ca="1">(-Monatsdaten!$BP$2+17000)/25/I$14</f>
        <v>0.10009364988351904</v>
      </c>
      <c r="J15" s="269">
        <f ca="1">B15-I15</f>
        <v>1.5045311377725079E-2</v>
      </c>
      <c r="K15" s="217">
        <f t="shared" ca="1" si="7"/>
        <v>0.13067089726116318</v>
      </c>
      <c r="L15" s="271">
        <f ca="1">$L$14*J15</f>
        <v>247.29135774129563</v>
      </c>
      <c r="M15" s="270">
        <f ca="1">L15*25</f>
        <v>6182.2839435323904</v>
      </c>
      <c r="N15" s="217"/>
    </row>
    <row r="16" spans="1:16" x14ac:dyDescent="0.15">
      <c r="A16" s="214" t="s">
        <v>193</v>
      </c>
      <c r="B16" s="268">
        <f ca="1">-Monatsdaten!$BP$2/30/B$14</f>
        <v>9.5949134384370111E-2</v>
      </c>
      <c r="C16" s="271"/>
      <c r="I16" s="268">
        <f ca="1">(-Monatsdaten!$BP$2+17000)/30/I$14</f>
        <v>8.3411374902932531E-2</v>
      </c>
      <c r="J16" s="269">
        <f ca="1">B16-I16</f>
        <v>1.253775948143758E-2</v>
      </c>
      <c r="K16" s="217">
        <f t="shared" ca="1" si="7"/>
        <v>0.13067089726116332</v>
      </c>
      <c r="L16" s="271">
        <f ca="1">$L$14*J16</f>
        <v>206.07613145107993</v>
      </c>
      <c r="M16" s="270">
        <f ca="1">L16*30</f>
        <v>6182.2839435323976</v>
      </c>
    </row>
  </sheetData>
  <sheetProtection sheet="1" objects="1" scenarios="1"/>
  <phoneticPr fontId="2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1129-FFCE-6549-B3E1-74345E216D47}">
  <sheetPr>
    <tabColor rgb="FF00B050"/>
  </sheetPr>
  <dimension ref="A1"/>
  <sheetViews>
    <sheetView topLeftCell="B1"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"/>
  <sheetViews>
    <sheetView topLeftCell="I1"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"/>
  <sheetViews>
    <sheetView topLeftCell="J1"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"/>
  <sheetViews>
    <sheetView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"/>
  <sheetViews>
    <sheetView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"/>
  <sheetViews>
    <sheetView topLeftCell="J1" workbookViewId="0">
      <selection activeCell="A45" sqref="A45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5737-0754-5A40-9111-D9AE7B5113FD}">
  <sheetPr>
    <tabColor rgb="FF00B050"/>
  </sheetPr>
  <dimension ref="A1"/>
  <sheetViews>
    <sheetView topLeftCell="B1" zoomScaleNormal="100" workbookViewId="0">
      <selection activeCell="KL16" sqref="IS16:KL16"/>
    </sheetView>
  </sheetViews>
  <sheetFormatPr baseColWidth="10" defaultRowHeight="13" x14ac:dyDescent="0.15"/>
  <sheetData/>
  <sheetProtection sheet="1" objects="1" scenarios="1" selectLockedCells="1" selectUnlockedCell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22</vt:i4>
      </vt:variant>
    </vt:vector>
  </HeadingPairs>
  <TitlesOfParts>
    <vt:vector size="22" baseType="lpstr">
      <vt:lpstr>Bilanz</vt:lpstr>
      <vt:lpstr>Bilanz o. Rate</vt:lpstr>
      <vt:lpstr>Strombetreiber</vt:lpstr>
      <vt:lpstr>Durchschnittsabweichung</vt:lpstr>
      <vt:lpstr>Stromaufteilung</vt:lpstr>
      <vt:lpstr>Strombilanz</vt:lpstr>
      <vt:lpstr>Stromkostenbilanz</vt:lpstr>
      <vt:lpstr>Stromkostenjahresbilanz</vt:lpstr>
      <vt:lpstr>E-Mobilität</vt:lpstr>
      <vt:lpstr>Stromverlauf</vt:lpstr>
      <vt:lpstr>Eigenstromverbrauch</vt:lpstr>
      <vt:lpstr>Eigenstromverlauf</vt:lpstr>
      <vt:lpstr>Mieterstromverbrauch</vt:lpstr>
      <vt:lpstr>Mieterstromverlauf</vt:lpstr>
      <vt:lpstr>Heizstromverbrauch</vt:lpstr>
      <vt:lpstr>Heizstromverlauf</vt:lpstr>
      <vt:lpstr>Heizverbrauch (Jahr)</vt:lpstr>
      <vt:lpstr>Heizkosten (Jahr)</vt:lpstr>
      <vt:lpstr>Monatsdaten</vt:lpstr>
      <vt:lpstr>Jahresdaten</vt:lpstr>
      <vt:lpstr>Vergleich Holz Strom</vt:lpstr>
      <vt:lpstr>PV-Felder</vt:lpstr>
    </vt:vector>
  </TitlesOfParts>
  <Company>SIEMENS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Hentschke, Stefan</dc:creator>
  <cp:lastModifiedBy>Stefan Hentschke</cp:lastModifiedBy>
  <dcterms:created xsi:type="dcterms:W3CDTF">2018-09-07T13:11:11Z</dcterms:created>
  <dcterms:modified xsi:type="dcterms:W3CDTF">2021-02-21T19:07:08Z</dcterms:modified>
</cp:coreProperties>
</file>